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機械工学科\2018_卒業研究審査会関係\2018卒業研究論文審査会\2018_最終提出物\"/>
    </mc:Choice>
  </mc:AlternateContent>
  <bookViews>
    <workbookView xWindow="0" yWindow="0" windowWidth="16608" windowHeight="9432"/>
  </bookViews>
  <sheets>
    <sheet name="ID" sheetId="2" r:id="rId1"/>
    <sheet name="IN1" sheetId="1" r:id="rId2"/>
    <sheet name="IN2" sheetId="3" r:id="rId3"/>
    <sheet name="Check" sheetId="4" r:id="rId4"/>
    <sheet name="提出票" sheetId="5" r:id="rId5"/>
    <sheet name="学習教育目標" sheetId="7" r:id="rId6"/>
    <sheet name="最終提出票" sheetId="6" r:id="rId7"/>
  </sheets>
  <definedNames>
    <definedName name="_xlnm.Print_Area" localSheetId="3">Check!$A$1:$AK$88</definedName>
    <definedName name="_xlnm.Print_Area" localSheetId="0">ID!$A$1:$F$22</definedName>
    <definedName name="_xlnm.Print_Area" localSheetId="1">'IN1'!$A$1:$U$223</definedName>
    <definedName name="_xlnm.Print_Area" localSheetId="2">'IN2'!$A$1:$J$20</definedName>
    <definedName name="_xlnm.Print_Area" localSheetId="5">学習教育目標!$A$1:$J$13</definedName>
    <definedName name="_xlnm.Print_Area" localSheetId="4">提出票!$A$1:$H$47</definedName>
  </definedNames>
  <calcPr calcId="152511"/>
</workbook>
</file>

<file path=xl/calcChain.xml><?xml version="1.0" encoding="utf-8"?>
<calcChain xmlns="http://schemas.openxmlformats.org/spreadsheetml/2006/main">
  <c r="F18" i="3" l="1"/>
  <c r="K51" i="1" l="1"/>
  <c r="C3" i="1" l="1"/>
  <c r="B2" i="3"/>
  <c r="G3" i="6" l="1"/>
  <c r="F3" i="6"/>
  <c r="D3" i="6"/>
  <c r="C3" i="6"/>
  <c r="G2" i="6"/>
  <c r="G1" i="6"/>
  <c r="Q51" i="1" l="1"/>
  <c r="K9" i="1"/>
  <c r="J174" i="1"/>
  <c r="J25" i="1"/>
  <c r="K53" i="4"/>
  <c r="E28" i="6" s="1"/>
  <c r="U1" i="4"/>
  <c r="G3" i="7"/>
  <c r="F17" i="3" l="1"/>
  <c r="K83" i="4" s="1"/>
  <c r="I83" i="4" s="1"/>
  <c r="G3" i="5"/>
  <c r="F3" i="5"/>
  <c r="D3" i="5"/>
  <c r="C3" i="5"/>
  <c r="G1" i="5"/>
  <c r="G2" i="5"/>
  <c r="L2" i="1" l="1"/>
  <c r="L49" i="1"/>
  <c r="K49" i="1"/>
  <c r="L51" i="1"/>
  <c r="F9" i="3" l="1"/>
  <c r="F7" i="3"/>
  <c r="F8" i="3"/>
  <c r="AF5" i="4"/>
  <c r="AE5" i="4"/>
  <c r="AD5" i="4"/>
  <c r="AC5" i="4"/>
  <c r="AB5" i="4"/>
  <c r="AA5" i="4"/>
  <c r="Z5" i="4"/>
  <c r="Y5" i="4"/>
  <c r="X5" i="4"/>
  <c r="Q51" i="4" l="1"/>
  <c r="N51" i="4"/>
  <c r="K87" i="4"/>
  <c r="I87" i="4" s="1"/>
  <c r="F16" i="3"/>
  <c r="K81" i="4" s="1"/>
  <c r="F15" i="3"/>
  <c r="K78" i="4" s="1"/>
  <c r="F14" i="3"/>
  <c r="K74" i="4" s="1"/>
  <c r="F13" i="3"/>
  <c r="K67" i="4" s="1"/>
  <c r="F12" i="3"/>
  <c r="K64" i="4" s="1"/>
  <c r="F11" i="3"/>
  <c r="K62" i="4" s="1"/>
  <c r="F10" i="3"/>
  <c r="K55" i="4" s="1"/>
  <c r="E29" i="6" s="1"/>
  <c r="I1" i="3"/>
  <c r="M1" i="3" s="1"/>
  <c r="I2" i="3"/>
  <c r="D2" i="3"/>
  <c r="E2" i="1"/>
  <c r="E3" i="1" s="1"/>
  <c r="H2" i="1"/>
  <c r="H3" i="1" s="1"/>
  <c r="C2" i="1"/>
  <c r="L9" i="1"/>
  <c r="F16" i="1"/>
  <c r="F216" i="1"/>
  <c r="F215" i="1"/>
  <c r="F214" i="1"/>
  <c r="Q33" i="1"/>
  <c r="I173" i="1"/>
  <c r="F173" i="1"/>
  <c r="I172" i="1"/>
  <c r="F172" i="1"/>
  <c r="I171" i="1"/>
  <c r="F171" i="1"/>
  <c r="I170" i="1"/>
  <c r="F170" i="1"/>
  <c r="I169" i="1"/>
  <c r="F169" i="1"/>
  <c r="I168" i="1"/>
  <c r="F168" i="1"/>
  <c r="J168" i="1" s="1"/>
  <c r="I167" i="1"/>
  <c r="F167" i="1"/>
  <c r="I166" i="1"/>
  <c r="F166" i="1"/>
  <c r="I165" i="1"/>
  <c r="F165" i="1"/>
  <c r="I164" i="1"/>
  <c r="F164" i="1"/>
  <c r="I163" i="1"/>
  <c r="F163" i="1"/>
  <c r="I162" i="1"/>
  <c r="F162" i="1"/>
  <c r="I161" i="1"/>
  <c r="F161" i="1"/>
  <c r="I160" i="1"/>
  <c r="F160" i="1"/>
  <c r="J160" i="1" s="1"/>
  <c r="I159" i="1"/>
  <c r="F159" i="1"/>
  <c r="I158" i="1"/>
  <c r="F158" i="1"/>
  <c r="I157" i="1"/>
  <c r="F157" i="1"/>
  <c r="I156" i="1"/>
  <c r="F156" i="1"/>
  <c r="I155"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H121" i="1"/>
  <c r="E121"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H92" i="1"/>
  <c r="E92" i="1"/>
  <c r="F89" i="1"/>
  <c r="F88" i="1"/>
  <c r="F87" i="1"/>
  <c r="F86" i="1"/>
  <c r="F85" i="1"/>
  <c r="F84" i="1"/>
  <c r="F83" i="1"/>
  <c r="F82" i="1"/>
  <c r="F81" i="1"/>
  <c r="F80" i="1"/>
  <c r="F79" i="1"/>
  <c r="F78" i="1"/>
  <c r="F77" i="1"/>
  <c r="F76" i="1"/>
  <c r="F75" i="1"/>
  <c r="F74" i="1"/>
  <c r="F73" i="1"/>
  <c r="F72" i="1"/>
  <c r="H71" i="1"/>
  <c r="E71" i="1"/>
  <c r="H186" i="1"/>
  <c r="H177" i="1"/>
  <c r="F188" i="1"/>
  <c r="F191" i="1"/>
  <c r="F194" i="1"/>
  <c r="F205" i="1"/>
  <c r="E210" i="1"/>
  <c r="F219" i="1"/>
  <c r="F218" i="1"/>
  <c r="F220" i="1"/>
  <c r="F217" i="1"/>
  <c r="F213" i="1"/>
  <c r="F212" i="1"/>
  <c r="F211" i="1"/>
  <c r="H210" i="1"/>
  <c r="F207" i="1"/>
  <c r="F206" i="1"/>
  <c r="F204" i="1"/>
  <c r="F203" i="1"/>
  <c r="F202" i="1"/>
  <c r="F201" i="1"/>
  <c r="F200" i="1"/>
  <c r="F199" i="1"/>
  <c r="H198" i="1"/>
  <c r="E198" i="1"/>
  <c r="F195" i="1"/>
  <c r="F193" i="1"/>
  <c r="F192" i="1"/>
  <c r="F190" i="1"/>
  <c r="F189" i="1"/>
  <c r="F187" i="1"/>
  <c r="E186" i="1"/>
  <c r="F183" i="1"/>
  <c r="F182" i="1"/>
  <c r="F181" i="1"/>
  <c r="F180" i="1"/>
  <c r="F179" i="1"/>
  <c r="F178" i="1"/>
  <c r="I177" i="1"/>
  <c r="E177" i="1"/>
  <c r="F68" i="1"/>
  <c r="F67" i="1"/>
  <c r="F66" i="1"/>
  <c r="F65" i="1"/>
  <c r="F64" i="1"/>
  <c r="F63" i="1"/>
  <c r="F62" i="1"/>
  <c r="F61" i="1"/>
  <c r="F60" i="1"/>
  <c r="F59" i="1"/>
  <c r="F58" i="1"/>
  <c r="F57" i="1"/>
  <c r="F56" i="1"/>
  <c r="F55" i="1"/>
  <c r="E54" i="1"/>
  <c r="F51" i="1"/>
  <c r="F50" i="1"/>
  <c r="H49" i="1"/>
  <c r="E49" i="1"/>
  <c r="F46" i="1"/>
  <c r="C46" i="1"/>
  <c r="B46" i="1"/>
  <c r="F45" i="1"/>
  <c r="C45" i="1"/>
  <c r="B45" i="1"/>
  <c r="F44" i="1"/>
  <c r="C44" i="1"/>
  <c r="AK7" i="4" s="1"/>
  <c r="B44" i="1"/>
  <c r="F43" i="1"/>
  <c r="C43" i="1"/>
  <c r="AJ7" i="4" s="1"/>
  <c r="B43" i="1"/>
  <c r="F42" i="1"/>
  <c r="C42" i="1"/>
  <c r="AI7" i="4" s="1"/>
  <c r="F41" i="1"/>
  <c r="C41" i="1"/>
  <c r="AH7" i="4" s="1"/>
  <c r="F40" i="1"/>
  <c r="C40" i="1"/>
  <c r="AG7" i="4" s="1"/>
  <c r="F39" i="1"/>
  <c r="C39" i="1"/>
  <c r="AF7" i="4" s="1"/>
  <c r="H38" i="1"/>
  <c r="E38" i="1"/>
  <c r="F36" i="1"/>
  <c r="C36" i="1"/>
  <c r="AE7" i="4" s="1"/>
  <c r="F35" i="1"/>
  <c r="C35" i="1"/>
  <c r="AD7" i="4" s="1"/>
  <c r="F34" i="1"/>
  <c r="C34" i="1"/>
  <c r="AC7" i="4" s="1"/>
  <c r="F33" i="1"/>
  <c r="C33" i="1"/>
  <c r="AB7" i="4" s="1"/>
  <c r="F32" i="1"/>
  <c r="C32" i="1"/>
  <c r="AA7" i="4" s="1"/>
  <c r="F31" i="1"/>
  <c r="C31" i="1"/>
  <c r="Z7" i="4" s="1"/>
  <c r="F30" i="1"/>
  <c r="C30" i="1"/>
  <c r="Y7" i="4" s="1"/>
  <c r="F29" i="1"/>
  <c r="F28" i="1" s="1"/>
  <c r="C29" i="1"/>
  <c r="H28" i="1"/>
  <c r="E28" i="1"/>
  <c r="F24" i="1"/>
  <c r="F23" i="1"/>
  <c r="F22" i="1"/>
  <c r="F21" i="1"/>
  <c r="H20" i="1"/>
  <c r="E20" i="1"/>
  <c r="F17" i="1"/>
  <c r="F15" i="1"/>
  <c r="F14" i="1"/>
  <c r="F13" i="1"/>
  <c r="F12" i="1"/>
  <c r="F11" i="1"/>
  <c r="F10" i="1"/>
  <c r="F9" i="1"/>
  <c r="H8" i="1"/>
  <c r="E8" i="1"/>
  <c r="F49" i="1" l="1"/>
  <c r="R24" i="1" s="1"/>
  <c r="K123" i="1"/>
  <c r="S27" i="1" s="1"/>
  <c r="F38" i="1"/>
  <c r="E33" i="5"/>
  <c r="E33" i="6"/>
  <c r="E40" i="5"/>
  <c r="E40" i="6"/>
  <c r="E34" i="5"/>
  <c r="E34" i="6"/>
  <c r="E41" i="5"/>
  <c r="E41" i="6"/>
  <c r="E32" i="5"/>
  <c r="E32" i="6"/>
  <c r="E39" i="5"/>
  <c r="E39" i="6"/>
  <c r="E37" i="5"/>
  <c r="E37" i="6"/>
  <c r="I17" i="1"/>
  <c r="J17" i="1"/>
  <c r="I24" i="1"/>
  <c r="J24" i="1"/>
  <c r="I51" i="1"/>
  <c r="J51" i="1"/>
  <c r="I55" i="1"/>
  <c r="J55" i="1"/>
  <c r="I178" i="1"/>
  <c r="J178" i="1"/>
  <c r="I180" i="1"/>
  <c r="J180" i="1"/>
  <c r="I182" i="1"/>
  <c r="J182" i="1"/>
  <c r="I189" i="1"/>
  <c r="J189" i="1"/>
  <c r="I192" i="1"/>
  <c r="J192" i="1"/>
  <c r="I195" i="1"/>
  <c r="J195" i="1"/>
  <c r="I202" i="1"/>
  <c r="J202" i="1"/>
  <c r="I204" i="1"/>
  <c r="J204" i="1"/>
  <c r="I207" i="1"/>
  <c r="J207" i="1"/>
  <c r="G213" i="1"/>
  <c r="J213" i="1"/>
  <c r="G220" i="1"/>
  <c r="J220" i="1"/>
  <c r="I219" i="1"/>
  <c r="J219" i="1"/>
  <c r="I205" i="1"/>
  <c r="J205" i="1"/>
  <c r="G191" i="1"/>
  <c r="J191" i="1"/>
  <c r="I88" i="1"/>
  <c r="J88" i="1"/>
  <c r="G103" i="1"/>
  <c r="J103" i="1"/>
  <c r="G105" i="1"/>
  <c r="J105" i="1"/>
  <c r="G107" i="1"/>
  <c r="J107" i="1"/>
  <c r="G109" i="1"/>
  <c r="J109" i="1"/>
  <c r="G117" i="1"/>
  <c r="J117" i="1"/>
  <c r="G169" i="1"/>
  <c r="AA30" i="4" s="1"/>
  <c r="J169" i="1"/>
  <c r="G170" i="1"/>
  <c r="AB30" i="4" s="1"/>
  <c r="J170" i="1"/>
  <c r="G171" i="1"/>
  <c r="X86" i="4" s="1"/>
  <c r="W86" i="4" s="1"/>
  <c r="J171" i="1"/>
  <c r="G172" i="1"/>
  <c r="J172" i="1"/>
  <c r="G173" i="1"/>
  <c r="X72" i="4" s="1"/>
  <c r="W72" i="4" s="1"/>
  <c r="K71" i="4" s="1"/>
  <c r="I71" i="4" s="1"/>
  <c r="J173" i="1"/>
  <c r="I214" i="1"/>
  <c r="J214" i="1"/>
  <c r="I216" i="1"/>
  <c r="J216" i="1"/>
  <c r="G168" i="1"/>
  <c r="I23" i="1"/>
  <c r="J23" i="1"/>
  <c r="I50" i="1"/>
  <c r="J50" i="1"/>
  <c r="I56" i="1"/>
  <c r="J56" i="1"/>
  <c r="I179" i="1"/>
  <c r="J179" i="1"/>
  <c r="I181" i="1"/>
  <c r="J181" i="1"/>
  <c r="I183" i="1"/>
  <c r="J183" i="1"/>
  <c r="I190" i="1"/>
  <c r="J190" i="1"/>
  <c r="I193" i="1"/>
  <c r="J193" i="1"/>
  <c r="I201" i="1"/>
  <c r="J201" i="1"/>
  <c r="I203" i="1"/>
  <c r="J203" i="1"/>
  <c r="I206" i="1"/>
  <c r="J206" i="1"/>
  <c r="I212" i="1"/>
  <c r="J212" i="1"/>
  <c r="I217" i="1"/>
  <c r="J217" i="1"/>
  <c r="I218" i="1"/>
  <c r="J218" i="1"/>
  <c r="I194" i="1"/>
  <c r="J194" i="1"/>
  <c r="G87" i="1"/>
  <c r="J87" i="1"/>
  <c r="G89" i="1"/>
  <c r="J89" i="1"/>
  <c r="I94" i="1"/>
  <c r="J94" i="1"/>
  <c r="I104" i="1"/>
  <c r="J104" i="1"/>
  <c r="I106" i="1"/>
  <c r="J106" i="1"/>
  <c r="I108" i="1"/>
  <c r="J108" i="1"/>
  <c r="I118" i="1"/>
  <c r="J118" i="1"/>
  <c r="I215" i="1"/>
  <c r="J215" i="1"/>
  <c r="I9" i="1"/>
  <c r="J9" i="1"/>
  <c r="I11" i="1"/>
  <c r="J11" i="1"/>
  <c r="I13" i="1"/>
  <c r="J13" i="1"/>
  <c r="I15" i="1"/>
  <c r="J15" i="1"/>
  <c r="G16" i="1"/>
  <c r="J16" i="1"/>
  <c r="I10" i="1"/>
  <c r="J10" i="1"/>
  <c r="I12" i="1"/>
  <c r="J12" i="1"/>
  <c r="I14" i="1"/>
  <c r="J14" i="1"/>
  <c r="I21" i="1"/>
  <c r="J21" i="1"/>
  <c r="I22" i="1"/>
  <c r="J22" i="1"/>
  <c r="I29" i="1"/>
  <c r="J29" i="1"/>
  <c r="I30" i="1"/>
  <c r="L30" i="1" s="1"/>
  <c r="S40" i="1" s="1"/>
  <c r="J30" i="1"/>
  <c r="I31" i="1"/>
  <c r="J31" i="1"/>
  <c r="I32" i="1"/>
  <c r="J32" i="1"/>
  <c r="I33" i="1"/>
  <c r="J33" i="1"/>
  <c r="I34" i="1"/>
  <c r="J34" i="1"/>
  <c r="I35" i="1"/>
  <c r="J35" i="1"/>
  <c r="I36" i="1"/>
  <c r="J36" i="1"/>
  <c r="I39" i="1"/>
  <c r="J39" i="1"/>
  <c r="I40" i="1"/>
  <c r="J40" i="1"/>
  <c r="I43" i="1"/>
  <c r="J43" i="1"/>
  <c r="I45" i="1"/>
  <c r="J45" i="1"/>
  <c r="I41" i="1"/>
  <c r="J41" i="1"/>
  <c r="I42" i="1"/>
  <c r="J42" i="1"/>
  <c r="I44" i="1"/>
  <c r="J44" i="1"/>
  <c r="I46" i="1"/>
  <c r="J46" i="1"/>
  <c r="I58" i="1"/>
  <c r="J58" i="1"/>
  <c r="I60" i="1"/>
  <c r="J60" i="1"/>
  <c r="I62" i="1"/>
  <c r="L56" i="1" s="1"/>
  <c r="S46" i="1" s="1"/>
  <c r="J62" i="1"/>
  <c r="I64" i="1"/>
  <c r="J64" i="1"/>
  <c r="I66" i="1"/>
  <c r="J66" i="1"/>
  <c r="I68" i="1"/>
  <c r="J68" i="1"/>
  <c r="I57" i="1"/>
  <c r="J57" i="1"/>
  <c r="I59" i="1"/>
  <c r="I54" i="1" s="1"/>
  <c r="J59" i="1"/>
  <c r="I61" i="1"/>
  <c r="J61" i="1"/>
  <c r="I63" i="1"/>
  <c r="J63" i="1"/>
  <c r="I65" i="1"/>
  <c r="J65" i="1"/>
  <c r="I67" i="1"/>
  <c r="J67" i="1"/>
  <c r="G77" i="1"/>
  <c r="J77" i="1"/>
  <c r="G79" i="1"/>
  <c r="Y22" i="4" s="1"/>
  <c r="J79" i="1"/>
  <c r="G73" i="1"/>
  <c r="J73" i="1"/>
  <c r="G75" i="1"/>
  <c r="Z20" i="4" s="1"/>
  <c r="J75" i="1"/>
  <c r="I72" i="1"/>
  <c r="J72" i="1"/>
  <c r="I74" i="1"/>
  <c r="J74" i="1"/>
  <c r="I76" i="1"/>
  <c r="J76" i="1"/>
  <c r="I78" i="1"/>
  <c r="J78" i="1"/>
  <c r="G81" i="1"/>
  <c r="J81" i="1"/>
  <c r="G83" i="1"/>
  <c r="Y24" i="4" s="1"/>
  <c r="J83" i="1"/>
  <c r="G85" i="1"/>
  <c r="J85" i="1"/>
  <c r="I80" i="1"/>
  <c r="J80" i="1"/>
  <c r="I82" i="1"/>
  <c r="J82" i="1"/>
  <c r="I84" i="1"/>
  <c r="J84" i="1"/>
  <c r="I86" i="1"/>
  <c r="J86" i="1"/>
  <c r="G93" i="1"/>
  <c r="AD20" i="4" s="1"/>
  <c r="J93" i="1"/>
  <c r="I96" i="1"/>
  <c r="J96" i="1"/>
  <c r="I98" i="1"/>
  <c r="J98" i="1"/>
  <c r="I100" i="1"/>
  <c r="J100" i="1"/>
  <c r="I102" i="1"/>
  <c r="J102" i="1"/>
  <c r="G95" i="1"/>
  <c r="J95" i="1"/>
  <c r="G97" i="1"/>
  <c r="J97" i="1"/>
  <c r="G99" i="1"/>
  <c r="J99" i="1"/>
  <c r="G101" i="1"/>
  <c r="AB22" i="4" s="1"/>
  <c r="J101" i="1"/>
  <c r="G113" i="1"/>
  <c r="J113" i="1"/>
  <c r="I110" i="1"/>
  <c r="J110" i="1"/>
  <c r="I112" i="1"/>
  <c r="J112" i="1"/>
  <c r="I114" i="1"/>
  <c r="J114" i="1"/>
  <c r="I116" i="1"/>
  <c r="J116" i="1"/>
  <c r="G111" i="1"/>
  <c r="X28" i="4" s="1"/>
  <c r="J111" i="1"/>
  <c r="G115" i="1"/>
  <c r="J115" i="1"/>
  <c r="G123" i="1"/>
  <c r="X41" i="4" s="1"/>
  <c r="J123" i="1"/>
  <c r="G125" i="1"/>
  <c r="J125" i="1"/>
  <c r="G127" i="1"/>
  <c r="Z35" i="4" s="1"/>
  <c r="J127" i="1"/>
  <c r="G129" i="1"/>
  <c r="J129" i="1"/>
  <c r="G131" i="1"/>
  <c r="J131" i="1"/>
  <c r="G133" i="1"/>
  <c r="J133" i="1"/>
  <c r="G135" i="1"/>
  <c r="AB37" i="4" s="1"/>
  <c r="J135" i="1"/>
  <c r="G137" i="1"/>
  <c r="J137" i="1"/>
  <c r="G139" i="1"/>
  <c r="AC45" i="4" s="1"/>
  <c r="J139" i="1"/>
  <c r="G141" i="1"/>
  <c r="J141" i="1"/>
  <c r="G143" i="1"/>
  <c r="AE39" i="4" s="1"/>
  <c r="J143" i="1"/>
  <c r="G145" i="1"/>
  <c r="J145" i="1"/>
  <c r="G147" i="1"/>
  <c r="Z43" i="4" s="1"/>
  <c r="J147" i="1"/>
  <c r="G149" i="1"/>
  <c r="J149" i="1"/>
  <c r="G151" i="1"/>
  <c r="Z41" i="4" s="1"/>
  <c r="J151" i="1"/>
  <c r="G153" i="1"/>
  <c r="J153" i="1"/>
  <c r="G155" i="1"/>
  <c r="J155" i="1"/>
  <c r="G156" i="1"/>
  <c r="J156" i="1"/>
  <c r="G157" i="1"/>
  <c r="J157" i="1"/>
  <c r="G158" i="1"/>
  <c r="J158" i="1"/>
  <c r="G159" i="1"/>
  <c r="Z45" i="4" s="1"/>
  <c r="J159" i="1"/>
  <c r="G161" i="1"/>
  <c r="J161" i="1"/>
  <c r="G162" i="1"/>
  <c r="Y47" i="4" s="1"/>
  <c r="J162" i="1"/>
  <c r="G163" i="1"/>
  <c r="J163" i="1"/>
  <c r="G164" i="1"/>
  <c r="AA47" i="4" s="1"/>
  <c r="J164" i="1"/>
  <c r="G165" i="1"/>
  <c r="J165" i="1"/>
  <c r="G166" i="1"/>
  <c r="AC47" i="4" s="1"/>
  <c r="J166" i="1"/>
  <c r="G167" i="1"/>
  <c r="J167" i="1"/>
  <c r="AE52" i="4"/>
  <c r="I122" i="1"/>
  <c r="J122" i="1"/>
  <c r="I124" i="1"/>
  <c r="J124" i="1"/>
  <c r="I126" i="1"/>
  <c r="J126" i="1"/>
  <c r="I128" i="1"/>
  <c r="J128" i="1"/>
  <c r="I130" i="1"/>
  <c r="J130" i="1"/>
  <c r="I132" i="1"/>
  <c r="J132" i="1"/>
  <c r="I134" i="1"/>
  <c r="J134" i="1"/>
  <c r="I136" i="1"/>
  <c r="J136" i="1"/>
  <c r="I138" i="1"/>
  <c r="J138" i="1"/>
  <c r="I140" i="1"/>
  <c r="J140" i="1"/>
  <c r="I142" i="1"/>
  <c r="J142" i="1"/>
  <c r="I144" i="1"/>
  <c r="J144" i="1"/>
  <c r="I146" i="1"/>
  <c r="J146" i="1"/>
  <c r="I148" i="1"/>
  <c r="J148" i="1"/>
  <c r="I150" i="1"/>
  <c r="J150" i="1"/>
  <c r="I152" i="1"/>
  <c r="J152" i="1"/>
  <c r="I154" i="1"/>
  <c r="J154" i="1"/>
  <c r="I199" i="1"/>
  <c r="I198" i="1" s="1"/>
  <c r="J199" i="1"/>
  <c r="I200" i="1"/>
  <c r="J200" i="1"/>
  <c r="I187" i="1"/>
  <c r="J187" i="1"/>
  <c r="I188" i="1"/>
  <c r="J188" i="1"/>
  <c r="G211" i="1"/>
  <c r="J211" i="1"/>
  <c r="L214" i="1" s="1"/>
  <c r="I55" i="4"/>
  <c r="E29" i="5"/>
  <c r="H53" i="4"/>
  <c r="G28" i="6" s="1"/>
  <c r="E28" i="5"/>
  <c r="AE47" i="4"/>
  <c r="AE41" i="4"/>
  <c r="AG39" i="4"/>
  <c r="AC39" i="4"/>
  <c r="AA39" i="4"/>
  <c r="Y39" i="4"/>
  <c r="AD37" i="4"/>
  <c r="Z37" i="4"/>
  <c r="X37" i="4"/>
  <c r="X35" i="4"/>
  <c r="AA32" i="4"/>
  <c r="Y32" i="4"/>
  <c r="Y30" i="4"/>
  <c r="AA24" i="4"/>
  <c r="AC22" i="4"/>
  <c r="AA22" i="4"/>
  <c r="AC20" i="4"/>
  <c r="AA20" i="4"/>
  <c r="AB43" i="4"/>
  <c r="X7" i="4"/>
  <c r="AD41" i="4"/>
  <c r="AB41" i="4"/>
  <c r="AC37" i="4"/>
  <c r="AB28" i="4"/>
  <c r="Z28" i="4"/>
  <c r="X26" i="4"/>
  <c r="AH20" i="4"/>
  <c r="AF20" i="4"/>
  <c r="AC43" i="4"/>
  <c r="AD52" i="4"/>
  <c r="Y45" i="4"/>
  <c r="X47" i="4"/>
  <c r="AB47" i="4"/>
  <c r="AD47" i="4"/>
  <c r="X52" i="4"/>
  <c r="AC52" i="4"/>
  <c r="H83" i="4"/>
  <c r="H81" i="4"/>
  <c r="G40" i="6" s="1"/>
  <c r="I81" i="4"/>
  <c r="K11" i="4"/>
  <c r="I64" i="4"/>
  <c r="H64" i="4"/>
  <c r="I62" i="4"/>
  <c r="H62" i="4"/>
  <c r="I67" i="4"/>
  <c r="H67" i="4"/>
  <c r="H78" i="4"/>
  <c r="I78" i="4"/>
  <c r="H74" i="4"/>
  <c r="I74" i="4"/>
  <c r="H55" i="4"/>
  <c r="Z47" i="4"/>
  <c r="I53" i="4"/>
  <c r="F28" i="6" s="1"/>
  <c r="O3" i="1"/>
  <c r="G160" i="1"/>
  <c r="AB45" i="4" s="1"/>
  <c r="K56" i="1"/>
  <c r="S28" i="1" s="1"/>
  <c r="K40" i="1"/>
  <c r="S23" i="1" s="1"/>
  <c r="K30" i="1"/>
  <c r="S22" i="1" s="1"/>
  <c r="K21" i="1"/>
  <c r="K94" i="1"/>
  <c r="S26" i="1" s="1"/>
  <c r="K73" i="1"/>
  <c r="S25" i="1" s="1"/>
  <c r="G214" i="1"/>
  <c r="F71" i="1"/>
  <c r="R43" i="1" s="1"/>
  <c r="T43" i="1" s="1"/>
  <c r="I16" i="1"/>
  <c r="F121" i="1"/>
  <c r="K125" i="1" s="1"/>
  <c r="G66" i="1"/>
  <c r="X17" i="4" s="1"/>
  <c r="F210" i="1"/>
  <c r="G72" i="1"/>
  <c r="X20" i="4" s="1"/>
  <c r="G154" i="1"/>
  <c r="AC41" i="4" s="1"/>
  <c r="G122" i="1"/>
  <c r="X30" i="4" s="1"/>
  <c r="G138" i="1"/>
  <c r="Z39" i="4" s="1"/>
  <c r="F20" i="1"/>
  <c r="G205" i="1"/>
  <c r="G194" i="1"/>
  <c r="G86" i="1"/>
  <c r="X32" i="4" s="1"/>
  <c r="G98" i="1"/>
  <c r="AI20" i="4" s="1"/>
  <c r="G130" i="1"/>
  <c r="AB52" i="4" s="1"/>
  <c r="G146" i="1"/>
  <c r="Y43" i="4" s="1"/>
  <c r="G216" i="1"/>
  <c r="H54" i="1"/>
  <c r="Q3" i="1" s="1"/>
  <c r="R29" i="1"/>
  <c r="G215" i="1"/>
  <c r="G44" i="1"/>
  <c r="AK8" i="4" s="1"/>
  <c r="G58" i="1"/>
  <c r="AA10" i="4" s="1"/>
  <c r="G181" i="1"/>
  <c r="F186" i="1"/>
  <c r="F198" i="1"/>
  <c r="G204" i="1"/>
  <c r="G219" i="1"/>
  <c r="G188" i="1"/>
  <c r="G80" i="1"/>
  <c r="Z22" i="4" s="1"/>
  <c r="F92" i="1"/>
  <c r="G94" i="1"/>
  <c r="AE20" i="4" s="1"/>
  <c r="G102" i="1"/>
  <c r="AD22" i="4" s="1"/>
  <c r="G126" i="1"/>
  <c r="AA52" i="4" s="1"/>
  <c r="G134" i="1"/>
  <c r="G142" i="1"/>
  <c r="AD39" i="4" s="1"/>
  <c r="G150" i="1"/>
  <c r="Y41" i="4" s="1"/>
  <c r="G124" i="1"/>
  <c r="G128" i="1"/>
  <c r="AA35" i="4" s="1"/>
  <c r="G132" i="1"/>
  <c r="AA37" i="4" s="1"/>
  <c r="G136" i="1"/>
  <c r="Y52" i="4" s="1"/>
  <c r="G140" i="1"/>
  <c r="AB39" i="4" s="1"/>
  <c r="G144" i="1"/>
  <c r="AF39" i="4" s="1"/>
  <c r="G148" i="1"/>
  <c r="AA43" i="4" s="1"/>
  <c r="G152" i="1"/>
  <c r="X45" i="4" s="1"/>
  <c r="G106" i="1"/>
  <c r="G110" i="1"/>
  <c r="G114" i="1"/>
  <c r="AA28" i="4" s="1"/>
  <c r="G118" i="1"/>
  <c r="G96" i="1"/>
  <c r="AG20" i="4" s="1"/>
  <c r="G100" i="1"/>
  <c r="AB20" i="4" s="1"/>
  <c r="G104" i="1"/>
  <c r="G108" i="1"/>
  <c r="G112" i="1"/>
  <c r="Y28" i="4" s="1"/>
  <c r="G116" i="1"/>
  <c r="Y26" i="4" s="1"/>
  <c r="G76" i="1"/>
  <c r="G84" i="1"/>
  <c r="Z24" i="4" s="1"/>
  <c r="G88" i="1"/>
  <c r="Z32" i="4" s="1"/>
  <c r="G74" i="1"/>
  <c r="Y20" i="4" s="1"/>
  <c r="G78" i="1"/>
  <c r="X22" i="4" s="1"/>
  <c r="G82" i="1"/>
  <c r="X24" i="4" s="1"/>
  <c r="I73" i="1"/>
  <c r="I75" i="1"/>
  <c r="I77" i="1"/>
  <c r="I79" i="1"/>
  <c r="I81" i="1"/>
  <c r="I83" i="1"/>
  <c r="I85" i="1"/>
  <c r="I87" i="1"/>
  <c r="I89" i="1"/>
  <c r="I93" i="1"/>
  <c r="I95" i="1"/>
  <c r="I97" i="1"/>
  <c r="I99" i="1"/>
  <c r="I101" i="1"/>
  <c r="I103" i="1"/>
  <c r="I105" i="1"/>
  <c r="I107" i="1"/>
  <c r="I109" i="1"/>
  <c r="I111" i="1"/>
  <c r="I113" i="1"/>
  <c r="I115" i="1"/>
  <c r="I117" i="1"/>
  <c r="I123" i="1"/>
  <c r="I125" i="1"/>
  <c r="L123" i="1" s="1"/>
  <c r="I127" i="1"/>
  <c r="I129" i="1"/>
  <c r="I131" i="1"/>
  <c r="I133" i="1"/>
  <c r="I135" i="1"/>
  <c r="I137" i="1"/>
  <c r="I139" i="1"/>
  <c r="I141" i="1"/>
  <c r="I143" i="1"/>
  <c r="I145" i="1"/>
  <c r="I147" i="1"/>
  <c r="I149" i="1"/>
  <c r="I151" i="1"/>
  <c r="I153" i="1"/>
  <c r="I191" i="1"/>
  <c r="G218" i="1"/>
  <c r="G200" i="1"/>
  <c r="G190" i="1"/>
  <c r="F54" i="1"/>
  <c r="G62" i="1"/>
  <c r="X15" i="4" s="1"/>
  <c r="W15" i="4" s="1"/>
  <c r="K14" i="4" s="1"/>
  <c r="G39" i="1"/>
  <c r="G41" i="1"/>
  <c r="AH8" i="4" s="1"/>
  <c r="G22" i="1"/>
  <c r="AH6" i="4" s="1"/>
  <c r="G15" i="1"/>
  <c r="G11" i="1"/>
  <c r="G24" i="1"/>
  <c r="AJ6" i="4" s="1"/>
  <c r="G40" i="1"/>
  <c r="AG8" i="4" s="1"/>
  <c r="G42" i="1"/>
  <c r="AI8" i="4" s="1"/>
  <c r="G46" i="1"/>
  <c r="G50" i="1"/>
  <c r="G56" i="1"/>
  <c r="Y10" i="4" s="1"/>
  <c r="G60" i="1"/>
  <c r="AC10" i="4" s="1"/>
  <c r="G64" i="1"/>
  <c r="AG10" i="4" s="1"/>
  <c r="G68" i="1"/>
  <c r="AK10" i="4" s="1"/>
  <c r="G187" i="1"/>
  <c r="G193" i="1"/>
  <c r="G202" i="1"/>
  <c r="G207" i="1"/>
  <c r="G212" i="1"/>
  <c r="G9" i="1"/>
  <c r="X6" i="4" s="1"/>
  <c r="G13" i="1"/>
  <c r="G179" i="1"/>
  <c r="G183" i="1"/>
  <c r="G217" i="1"/>
  <c r="F8" i="1"/>
  <c r="R20" i="1" s="1"/>
  <c r="G10" i="1"/>
  <c r="G12" i="1"/>
  <c r="AA6" i="4" s="1"/>
  <c r="G14" i="1"/>
  <c r="G17" i="1"/>
  <c r="G21" i="1"/>
  <c r="AG6" i="4" s="1"/>
  <c r="G23" i="1"/>
  <c r="AI6" i="4" s="1"/>
  <c r="G29" i="1"/>
  <c r="G30" i="1"/>
  <c r="Y8" i="4" s="1"/>
  <c r="G31" i="1"/>
  <c r="Z8" i="4" s="1"/>
  <c r="G32" i="1"/>
  <c r="AA8" i="4" s="1"/>
  <c r="G33" i="1"/>
  <c r="AB8" i="4" s="1"/>
  <c r="G34" i="1"/>
  <c r="AC8" i="4" s="1"/>
  <c r="G35" i="1"/>
  <c r="AD8" i="4" s="1"/>
  <c r="G36" i="1"/>
  <c r="AE8" i="4" s="1"/>
  <c r="G43" i="1"/>
  <c r="AJ8" i="4" s="1"/>
  <c r="G45" i="1"/>
  <c r="G51" i="1"/>
  <c r="G55" i="1"/>
  <c r="X61" i="4" s="1"/>
  <c r="G57" i="1"/>
  <c r="Z10" i="4" s="1"/>
  <c r="G59" i="1"/>
  <c r="AB10" i="4" s="1"/>
  <c r="G61" i="1"/>
  <c r="AD10" i="4" s="1"/>
  <c r="G63" i="1"/>
  <c r="Z17" i="4" s="1"/>
  <c r="G65" i="1"/>
  <c r="AH10" i="4" s="1"/>
  <c r="G67" i="1"/>
  <c r="AA17" i="4" s="1"/>
  <c r="F177" i="1"/>
  <c r="R47" i="1" s="1"/>
  <c r="G178" i="1"/>
  <c r="G180" i="1"/>
  <c r="G182" i="1"/>
  <c r="G189" i="1"/>
  <c r="G192" i="1"/>
  <c r="G195" i="1"/>
  <c r="G199" i="1"/>
  <c r="G201" i="1"/>
  <c r="G203" i="1"/>
  <c r="G206" i="1"/>
  <c r="I211" i="1"/>
  <c r="I213" i="1"/>
  <c r="I220" i="1"/>
  <c r="K85" i="4" l="1"/>
  <c r="I85" i="4" s="1"/>
  <c r="AF41" i="4"/>
  <c r="X70" i="4"/>
  <c r="W70" i="4" s="1"/>
  <c r="K69" i="4" s="1"/>
  <c r="E35" i="6" s="1"/>
  <c r="X43" i="4"/>
  <c r="Z30" i="4"/>
  <c r="AC30" i="4"/>
  <c r="X58" i="4"/>
  <c r="I28" i="1"/>
  <c r="R30" i="1"/>
  <c r="R31" i="1"/>
  <c r="R49" i="1"/>
  <c r="R32" i="1"/>
  <c r="I49" i="1"/>
  <c r="R42" i="1" s="1"/>
  <c r="Y6" i="4"/>
  <c r="AC6" i="4"/>
  <c r="I38" i="1"/>
  <c r="L42" i="1" s="1"/>
  <c r="AF8" i="4"/>
  <c r="G38" i="1"/>
  <c r="E43" i="5"/>
  <c r="E43" i="6"/>
  <c r="AF6" i="4"/>
  <c r="G39" i="5"/>
  <c r="G39" i="6"/>
  <c r="G34" i="5"/>
  <c r="G34" i="6"/>
  <c r="F40" i="5"/>
  <c r="F40" i="6"/>
  <c r="F34" i="5"/>
  <c r="F34" i="6"/>
  <c r="G33" i="5"/>
  <c r="G33" i="6"/>
  <c r="F39" i="5"/>
  <c r="F39" i="6"/>
  <c r="G32" i="5"/>
  <c r="G32" i="6"/>
  <c r="F33" i="5"/>
  <c r="F33" i="6"/>
  <c r="G41" i="5"/>
  <c r="G41" i="6"/>
  <c r="F32" i="5"/>
  <c r="F32" i="6"/>
  <c r="F41" i="5"/>
  <c r="F41" i="6"/>
  <c r="F37" i="5"/>
  <c r="F37" i="6"/>
  <c r="G37" i="5"/>
  <c r="G37" i="6"/>
  <c r="L52" i="1"/>
  <c r="G49" i="1"/>
  <c r="I8" i="1"/>
  <c r="R38" i="1" s="1"/>
  <c r="F29" i="5"/>
  <c r="F29" i="6"/>
  <c r="G29" i="5"/>
  <c r="G29" i="6"/>
  <c r="I11" i="4"/>
  <c r="E9" i="6"/>
  <c r="E10" i="5"/>
  <c r="E10" i="6"/>
  <c r="E35" i="5"/>
  <c r="F36" i="5"/>
  <c r="F36" i="6"/>
  <c r="E36" i="5"/>
  <c r="E36" i="6"/>
  <c r="G28" i="5"/>
  <c r="F28" i="5"/>
  <c r="L21" i="1"/>
  <c r="S39" i="1" s="1"/>
  <c r="AB6" i="4"/>
  <c r="AD6" i="4"/>
  <c r="Z6" i="4"/>
  <c r="AE6" i="4"/>
  <c r="R40" i="1"/>
  <c r="T40" i="1" s="1"/>
  <c r="R22" i="1"/>
  <c r="T22" i="1" s="1"/>
  <c r="R27" i="1"/>
  <c r="T27" i="1" s="1"/>
  <c r="R46" i="1"/>
  <c r="T46" i="1" s="1"/>
  <c r="J20" i="1"/>
  <c r="R21" i="1"/>
  <c r="T21" i="1" s="1"/>
  <c r="E42" i="5"/>
  <c r="H85" i="4"/>
  <c r="L40" i="1"/>
  <c r="S41" i="1" s="1"/>
  <c r="I20" i="1"/>
  <c r="L23" i="1" s="1"/>
  <c r="L181" i="1"/>
  <c r="L13" i="1"/>
  <c r="K23" i="1"/>
  <c r="S21" i="1" s="1"/>
  <c r="W24" i="4"/>
  <c r="K23" i="4" s="1"/>
  <c r="L25" i="1"/>
  <c r="K32" i="1"/>
  <c r="L34" i="1"/>
  <c r="K42" i="1"/>
  <c r="R23" i="1"/>
  <c r="T23" i="1" s="1"/>
  <c r="L44" i="1"/>
  <c r="L60" i="1"/>
  <c r="K75" i="1"/>
  <c r="R25" i="1"/>
  <c r="T25" i="1" s="1"/>
  <c r="L77" i="1"/>
  <c r="K96" i="1"/>
  <c r="R26" i="1"/>
  <c r="T26" i="1" s="1"/>
  <c r="L98" i="1"/>
  <c r="L127" i="1"/>
  <c r="L202" i="1"/>
  <c r="I186" i="1"/>
  <c r="R48" i="1" s="1"/>
  <c r="H71" i="4"/>
  <c r="L190" i="1"/>
  <c r="K11" i="1"/>
  <c r="G40" i="5"/>
  <c r="H11" i="4"/>
  <c r="E9" i="5"/>
  <c r="K58" i="1"/>
  <c r="R28" i="1"/>
  <c r="W22" i="4"/>
  <c r="K21" i="4" s="1"/>
  <c r="E13" i="6" s="1"/>
  <c r="H14" i="4"/>
  <c r="I14" i="4"/>
  <c r="W20" i="4"/>
  <c r="K19" i="4" s="1"/>
  <c r="Z52" i="4"/>
  <c r="W52" i="4" s="1"/>
  <c r="K51" i="4" s="1"/>
  <c r="E27" i="6" s="1"/>
  <c r="AD61" i="4"/>
  <c r="AA61" i="4"/>
  <c r="AE61" i="4"/>
  <c r="AJ61" i="4"/>
  <c r="AB61" i="4"/>
  <c r="AI61" i="4"/>
  <c r="W43" i="4"/>
  <c r="K42" i="4" s="1"/>
  <c r="W28" i="4"/>
  <c r="K27" i="4" s="1"/>
  <c r="E16" i="6" s="1"/>
  <c r="AB32" i="4"/>
  <c r="Y35" i="4"/>
  <c r="W35" i="4" s="1"/>
  <c r="K34" i="4" s="1"/>
  <c r="Y37" i="4"/>
  <c r="W37" i="4" s="1"/>
  <c r="K36" i="4" s="1"/>
  <c r="X10" i="4"/>
  <c r="AF10" i="4"/>
  <c r="AJ10" i="4"/>
  <c r="X77" i="4"/>
  <c r="AA41" i="4"/>
  <c r="W41" i="4" s="1"/>
  <c r="K40" i="4" s="1"/>
  <c r="AE10" i="4"/>
  <c r="AI10" i="4"/>
  <c r="AB17" i="4"/>
  <c r="H87" i="4"/>
  <c r="G43" i="6" s="1"/>
  <c r="AA45" i="4"/>
  <c r="W45" i="4" s="1"/>
  <c r="K44" i="4" s="1"/>
  <c r="E24" i="6" s="1"/>
  <c r="Z61" i="4"/>
  <c r="Y61" i="4"/>
  <c r="AC61" i="4"/>
  <c r="AH61" i="4"/>
  <c r="AG61" i="4"/>
  <c r="AK61" i="4"/>
  <c r="W26" i="4"/>
  <c r="K25" i="4" s="1"/>
  <c r="AD32" i="4"/>
  <c r="X39" i="4"/>
  <c r="W39" i="4" s="1"/>
  <c r="K38" i="4" s="1"/>
  <c r="X8" i="4"/>
  <c r="W8" i="4" s="1"/>
  <c r="K7" i="4" s="1"/>
  <c r="AC32" i="4"/>
  <c r="W47" i="4"/>
  <c r="K46" i="4" s="1"/>
  <c r="AK6" i="4"/>
  <c r="Y17" i="4"/>
  <c r="Y77" i="4"/>
  <c r="AF61" i="4"/>
  <c r="L58" i="1"/>
  <c r="T20" i="1"/>
  <c r="O2" i="1"/>
  <c r="Y58" i="4" s="1"/>
  <c r="L73" i="1"/>
  <c r="S43" i="1" s="1"/>
  <c r="G71" i="1"/>
  <c r="G92" i="1"/>
  <c r="G121" i="1"/>
  <c r="I121" i="1"/>
  <c r="I71" i="1"/>
  <c r="L75" i="1" s="1"/>
  <c r="I92" i="1"/>
  <c r="L96" i="1" s="1"/>
  <c r="L94" i="1"/>
  <c r="S44" i="1" s="1"/>
  <c r="S45" i="1"/>
  <c r="G210" i="1"/>
  <c r="G186" i="1"/>
  <c r="G28" i="1"/>
  <c r="G20" i="1"/>
  <c r="I210" i="1"/>
  <c r="R50" i="1" s="1"/>
  <c r="G198" i="1"/>
  <c r="G177" i="1"/>
  <c r="G54" i="1"/>
  <c r="G8" i="1"/>
  <c r="L32" i="1"/>
  <c r="E42" i="6" l="1"/>
  <c r="I69" i="4"/>
  <c r="H69" i="4"/>
  <c r="G35" i="6" s="1"/>
  <c r="W30" i="4"/>
  <c r="K29" i="4" s="1"/>
  <c r="E17" i="5" s="1"/>
  <c r="R45" i="1"/>
  <c r="T45" i="1" s="1"/>
  <c r="L125" i="1"/>
  <c r="R33" i="1"/>
  <c r="T33" i="1" s="1"/>
  <c r="R41" i="1"/>
  <c r="I27" i="4"/>
  <c r="F16" i="6" s="1"/>
  <c r="O5" i="1"/>
  <c r="F43" i="5"/>
  <c r="F43" i="6"/>
  <c r="L11" i="1"/>
  <c r="W6" i="4"/>
  <c r="K5" i="4" s="1"/>
  <c r="E6" i="6" s="1"/>
  <c r="G9" i="5"/>
  <c r="G9" i="6"/>
  <c r="F9" i="5"/>
  <c r="F9" i="6"/>
  <c r="E21" i="5"/>
  <c r="E21" i="6"/>
  <c r="E19" i="5"/>
  <c r="E19" i="6"/>
  <c r="F10" i="5"/>
  <c r="F10" i="6"/>
  <c r="F42" i="5"/>
  <c r="F42" i="6"/>
  <c r="I38" i="4"/>
  <c r="E22" i="5"/>
  <c r="E22" i="6"/>
  <c r="G10" i="5"/>
  <c r="H10" i="5" s="1"/>
  <c r="G10" i="6"/>
  <c r="H10" i="6" s="1"/>
  <c r="E14" i="5"/>
  <c r="E14" i="6"/>
  <c r="G42" i="5"/>
  <c r="G42" i="6"/>
  <c r="H40" i="6" s="1"/>
  <c r="E25" i="5"/>
  <c r="E25" i="6"/>
  <c r="E15" i="5"/>
  <c r="E15" i="6"/>
  <c r="E20" i="5"/>
  <c r="E20" i="6"/>
  <c r="G36" i="5"/>
  <c r="G36" i="6"/>
  <c r="H34" i="6" s="1"/>
  <c r="E7" i="5"/>
  <c r="E7" i="6"/>
  <c r="F35" i="5"/>
  <c r="F35" i="6"/>
  <c r="E23" i="5"/>
  <c r="E23" i="6"/>
  <c r="E12" i="5"/>
  <c r="E12" i="6"/>
  <c r="R44" i="1"/>
  <c r="T44" i="1" s="1"/>
  <c r="H23" i="4"/>
  <c r="D81" i="4"/>
  <c r="C81" i="4" s="1"/>
  <c r="R39" i="1"/>
  <c r="T39" i="1" s="1"/>
  <c r="T38" i="1"/>
  <c r="I23" i="4"/>
  <c r="H38" i="4"/>
  <c r="H44" i="4"/>
  <c r="E24" i="5"/>
  <c r="H27" i="4"/>
  <c r="E16" i="5"/>
  <c r="H51" i="4"/>
  <c r="E27" i="5"/>
  <c r="I21" i="4"/>
  <c r="E13" i="5"/>
  <c r="D67" i="4"/>
  <c r="C67" i="4" s="1"/>
  <c r="G43" i="5"/>
  <c r="T28" i="1"/>
  <c r="H21" i="4"/>
  <c r="W32" i="4"/>
  <c r="K31" i="4" s="1"/>
  <c r="E18" i="6" s="1"/>
  <c r="H40" i="4"/>
  <c r="I40" i="4"/>
  <c r="H25" i="4"/>
  <c r="I25" i="4"/>
  <c r="H7" i="4"/>
  <c r="I7" i="4"/>
  <c r="I34" i="4"/>
  <c r="H34" i="4"/>
  <c r="H42" i="4"/>
  <c r="I42" i="4"/>
  <c r="I19" i="4"/>
  <c r="H19" i="4"/>
  <c r="W10" i="4"/>
  <c r="K9" i="4" s="1"/>
  <c r="E8" i="6" s="1"/>
  <c r="I44" i="4"/>
  <c r="H46" i="4"/>
  <c r="I46" i="4"/>
  <c r="W61" i="4"/>
  <c r="K60" i="4" s="1"/>
  <c r="W17" i="4"/>
  <c r="K16" i="4" s="1"/>
  <c r="W77" i="4"/>
  <c r="K76" i="4" s="1"/>
  <c r="I51" i="4"/>
  <c r="I36" i="4"/>
  <c r="H36" i="4"/>
  <c r="K49" i="4"/>
  <c r="E26" i="6" s="1"/>
  <c r="O4" i="1"/>
  <c r="Q2" i="1"/>
  <c r="R51" i="1" l="1"/>
  <c r="G35" i="5"/>
  <c r="H34" i="5" s="1"/>
  <c r="I29" i="4"/>
  <c r="F17" i="5" s="1"/>
  <c r="H29" i="4"/>
  <c r="G17" i="6" s="1"/>
  <c r="E17" i="6"/>
  <c r="Q5" i="1"/>
  <c r="T41" i="1"/>
  <c r="F16" i="5"/>
  <c r="I5" i="4"/>
  <c r="F6" i="6" s="1"/>
  <c r="H5" i="4"/>
  <c r="G6" i="5" s="1"/>
  <c r="E6" i="5"/>
  <c r="H40" i="5"/>
  <c r="G20" i="5"/>
  <c r="G20" i="6"/>
  <c r="F27" i="5"/>
  <c r="F27" i="6"/>
  <c r="F25" i="5"/>
  <c r="F25" i="6"/>
  <c r="G12" i="5"/>
  <c r="G12" i="6"/>
  <c r="G19" i="5"/>
  <c r="G19" i="6"/>
  <c r="F15" i="5"/>
  <c r="F15" i="6"/>
  <c r="G27" i="5"/>
  <c r="G27" i="6"/>
  <c r="G24" i="5"/>
  <c r="G24" i="6"/>
  <c r="F23" i="5"/>
  <c r="F23" i="6"/>
  <c r="E38" i="5"/>
  <c r="E38" i="6"/>
  <c r="G25" i="5"/>
  <c r="G25" i="6"/>
  <c r="F12" i="5"/>
  <c r="F12" i="6"/>
  <c r="F19" i="5"/>
  <c r="F19" i="6"/>
  <c r="G15" i="5"/>
  <c r="G15" i="6"/>
  <c r="G13" i="5"/>
  <c r="G13" i="6"/>
  <c r="G21" i="5"/>
  <c r="G21" i="6"/>
  <c r="G14" i="5"/>
  <c r="G14" i="6"/>
  <c r="F21" i="5"/>
  <c r="F21" i="6"/>
  <c r="E11" i="5"/>
  <c r="E11" i="6"/>
  <c r="F7" i="5"/>
  <c r="F7" i="6"/>
  <c r="F24" i="5"/>
  <c r="F24" i="6"/>
  <c r="F22" i="5"/>
  <c r="F22" i="6"/>
  <c r="F13" i="5"/>
  <c r="F13" i="6"/>
  <c r="G16" i="5"/>
  <c r="G16" i="6"/>
  <c r="F20" i="5"/>
  <c r="F20" i="6"/>
  <c r="E31" i="5"/>
  <c r="E31" i="6"/>
  <c r="G23" i="5"/>
  <c r="G23" i="6"/>
  <c r="G7" i="5"/>
  <c r="G7" i="6"/>
  <c r="G22" i="5"/>
  <c r="G22" i="6"/>
  <c r="F14" i="5"/>
  <c r="F14" i="6"/>
  <c r="Q4" i="1"/>
  <c r="T51" i="1"/>
  <c r="R2" i="1"/>
  <c r="Z58" i="4"/>
  <c r="W58" i="4" s="1"/>
  <c r="K57" i="4" s="1"/>
  <c r="H31" i="4"/>
  <c r="E18" i="5"/>
  <c r="I49" i="4"/>
  <c r="E26" i="5"/>
  <c r="H9" i="4"/>
  <c r="G8" i="6" s="1"/>
  <c r="E8" i="5"/>
  <c r="I9" i="4"/>
  <c r="I31" i="4"/>
  <c r="H49" i="4"/>
  <c r="H60" i="4"/>
  <c r="I60" i="4"/>
  <c r="I76" i="4"/>
  <c r="H76" i="4"/>
  <c r="G38" i="6" s="1"/>
  <c r="H37" i="6" s="1"/>
  <c r="I16" i="4"/>
  <c r="H16" i="4"/>
  <c r="D34" i="4"/>
  <c r="C34" i="4" s="1"/>
  <c r="G17" i="5" l="1"/>
  <c r="F17" i="6"/>
  <c r="F6" i="5"/>
  <c r="G6" i="6"/>
  <c r="H6" i="6" s="1"/>
  <c r="H12" i="5"/>
  <c r="H19" i="5"/>
  <c r="F8" i="5"/>
  <c r="F8" i="6"/>
  <c r="H12" i="6"/>
  <c r="F26" i="5"/>
  <c r="F26" i="6"/>
  <c r="F11" i="5"/>
  <c r="F11" i="6"/>
  <c r="G31" i="5"/>
  <c r="H31" i="5" s="1"/>
  <c r="G31" i="6"/>
  <c r="H31" i="6" s="1"/>
  <c r="K1" i="4"/>
  <c r="E30" i="6"/>
  <c r="F47" i="6" s="1"/>
  <c r="F31" i="5"/>
  <c r="F31" i="6"/>
  <c r="G26" i="5"/>
  <c r="H26" i="5" s="1"/>
  <c r="G26" i="6"/>
  <c r="H26" i="6" s="1"/>
  <c r="H19" i="6"/>
  <c r="G11" i="5"/>
  <c r="G11" i="6"/>
  <c r="F38" i="5"/>
  <c r="F38" i="6"/>
  <c r="F18" i="5"/>
  <c r="F18" i="6"/>
  <c r="G18" i="5"/>
  <c r="G18" i="6"/>
  <c r="D19" i="4"/>
  <c r="C19" i="4" s="1"/>
  <c r="D14" i="4"/>
  <c r="C14" i="4" s="1"/>
  <c r="E30" i="5"/>
  <c r="F47" i="5" s="1"/>
  <c r="H57" i="4"/>
  <c r="I57" i="4"/>
  <c r="D74" i="4"/>
  <c r="C74" i="4" s="1"/>
  <c r="G38" i="5"/>
  <c r="H37" i="5" s="1"/>
  <c r="D5" i="4"/>
  <c r="C5" i="4" s="1"/>
  <c r="G8" i="5"/>
  <c r="H6" i="5" s="1"/>
  <c r="D60" i="4"/>
  <c r="C60" i="4" s="1"/>
  <c r="H1" i="4" l="1"/>
  <c r="G30" i="6"/>
  <c r="H47" i="6" s="1"/>
  <c r="F30" i="5"/>
  <c r="F30" i="6"/>
  <c r="G30" i="5"/>
  <c r="H47" i="5" s="1"/>
  <c r="D49" i="4"/>
  <c r="C49" i="4" s="1"/>
</calcChain>
</file>

<file path=xl/comments1.xml><?xml version="1.0" encoding="utf-8"?>
<comments xmlns="http://schemas.openxmlformats.org/spreadsheetml/2006/main">
  <authors>
    <author>onakabep</author>
  </authors>
  <commentList>
    <comment ref="C14" authorId="0" shapeId="0">
      <text>
        <r>
          <rPr>
            <b/>
            <sz val="9"/>
            <color indexed="81"/>
            <rFont val="ＭＳ Ｐゴシック"/>
            <family val="3"/>
            <charset val="128"/>
          </rPr>
          <t>前年度の実績を記入（卒業時には4年次の実績を記入）</t>
        </r>
      </text>
    </comment>
  </commentList>
</comments>
</file>

<file path=xl/comments2.xml><?xml version="1.0" encoding="utf-8"?>
<comments xmlns="http://schemas.openxmlformats.org/spreadsheetml/2006/main">
  <authors>
    <author>onakabep</author>
  </authors>
  <commentList>
    <comment ref="B1" authorId="0" shapeId="0">
      <text>
        <r>
          <rPr>
            <sz val="9"/>
            <color indexed="81"/>
            <rFont val="ＭＳ Ｐゴシック"/>
            <family val="3"/>
            <charset val="128"/>
          </rPr>
          <t xml:space="preserve">修得済み科目の成績（S～F)を記入し，今年度の履修科目にRを記入すること。
</t>
        </r>
      </text>
    </comment>
    <comment ref="N2" authorId="0" shapeId="0">
      <text>
        <r>
          <rPr>
            <sz val="9"/>
            <color indexed="81"/>
            <rFont val="ＭＳ Ｐゴシック"/>
            <family val="3"/>
            <charset val="128"/>
          </rPr>
          <t>教職科目は除く</t>
        </r>
      </text>
    </comment>
    <comment ref="P2" authorId="0" shapeId="0">
      <text>
        <r>
          <rPr>
            <sz val="9"/>
            <color indexed="81"/>
            <rFont val="ＭＳ Ｐゴシック"/>
            <family val="3"/>
            <charset val="128"/>
          </rPr>
          <t>履修制限49単位</t>
        </r>
      </text>
    </comment>
    <comment ref="B5" authorId="0" shapeId="0">
      <text>
        <r>
          <rPr>
            <sz val="9"/>
            <color indexed="81"/>
            <rFont val="ＭＳ Ｐゴシック"/>
            <family val="3"/>
            <charset val="128"/>
          </rPr>
          <t>○は必修，
△は選択必修
□は卒研条件</t>
        </r>
      </text>
    </comment>
    <comment ref="E5" authorId="0" shapeId="0">
      <text>
        <r>
          <rPr>
            <sz val="9"/>
            <color indexed="81"/>
            <rFont val="ＭＳ Ｐゴシック"/>
            <family val="3"/>
            <charset val="128"/>
          </rPr>
          <t xml:space="preserve">履修結果を入力
</t>
        </r>
      </text>
    </comment>
    <comment ref="G5" authorId="0" shapeId="0">
      <text>
        <r>
          <rPr>
            <b/>
            <sz val="9"/>
            <color indexed="81"/>
            <rFont val="ＭＳ Ｐゴシック"/>
            <family val="3"/>
            <charset val="128"/>
          </rPr>
          <t>AP＝GP×単位数</t>
        </r>
      </text>
    </comment>
    <comment ref="H5" authorId="0" shapeId="0">
      <text>
        <r>
          <rPr>
            <sz val="9"/>
            <color indexed="81"/>
            <rFont val="ＭＳ Ｐゴシック"/>
            <family val="3"/>
            <charset val="128"/>
          </rPr>
          <t>履修予定にRを入力</t>
        </r>
      </text>
    </comment>
    <comment ref="I5" authorId="0" shapeId="0">
      <text>
        <r>
          <rPr>
            <sz val="9"/>
            <color indexed="81"/>
            <rFont val="ＭＳ Ｐゴシック"/>
            <family val="3"/>
            <charset val="128"/>
          </rPr>
          <t xml:space="preserve">上限49単位
</t>
        </r>
      </text>
    </comment>
    <comment ref="K5" authorId="0" shapeId="0">
      <text>
        <r>
          <rPr>
            <sz val="9"/>
            <color indexed="81"/>
            <rFont val="ＭＳ Ｐゴシック"/>
            <family val="3"/>
            <charset val="128"/>
          </rPr>
          <t>満足：TRUE
不足：FALSE</t>
        </r>
      </text>
    </comment>
    <comment ref="L5" authorId="0" shapeId="0">
      <text>
        <r>
          <rPr>
            <sz val="9"/>
            <color indexed="81"/>
            <rFont val="ＭＳ Ｐゴシック"/>
            <family val="3"/>
            <charset val="128"/>
          </rPr>
          <t>履修計画科目の修得を前提にした判定</t>
        </r>
      </text>
    </comment>
    <comment ref="Q5" authorId="0" shapeId="0">
      <text>
        <r>
          <rPr>
            <sz val="9"/>
            <color indexed="81"/>
            <rFont val="ＭＳ Ｐゴシック"/>
            <family val="3"/>
            <charset val="128"/>
          </rPr>
          <t>4年で卒業見込がTRUEにならない場合は履修計画を見直すこと。</t>
        </r>
      </text>
    </comment>
    <comment ref="B7" authorId="0" shapeId="0">
      <text>
        <r>
          <rPr>
            <sz val="9"/>
            <color indexed="81"/>
            <rFont val="ＭＳ Ｐゴシック"/>
            <family val="3"/>
            <charset val="128"/>
          </rPr>
          <t>履修科目をリストから選択</t>
        </r>
      </text>
    </comment>
    <comment ref="T19" authorId="0" shapeId="0">
      <text>
        <r>
          <rPr>
            <b/>
            <sz val="9"/>
            <color indexed="81"/>
            <rFont val="ＭＳ Ｐゴシック"/>
            <family val="3"/>
            <charset val="128"/>
          </rPr>
          <t>本判定は自己点検のための目安である。正式には，事務システムで判定され，通知される。</t>
        </r>
      </text>
    </comment>
    <comment ref="R24" authorId="0" shapeId="0">
      <text>
        <r>
          <rPr>
            <b/>
            <sz val="9"/>
            <color indexed="81"/>
            <rFont val="ＭＳ Ｐゴシック"/>
            <family val="3"/>
            <charset val="128"/>
          </rPr>
          <t>2単位まで表示</t>
        </r>
      </text>
    </comment>
    <comment ref="R30" authorId="0" shapeId="0">
      <text>
        <r>
          <rPr>
            <b/>
            <sz val="9"/>
            <color indexed="81"/>
            <rFont val="ＭＳ Ｐゴシック"/>
            <family val="3"/>
            <charset val="128"/>
          </rPr>
          <t>2単位まで表示</t>
        </r>
      </text>
    </comment>
    <comment ref="R42" authorId="0" shapeId="0">
      <text>
        <r>
          <rPr>
            <sz val="9"/>
            <color indexed="81"/>
            <rFont val="ＭＳ Ｐゴシック"/>
            <family val="3"/>
            <charset val="128"/>
          </rPr>
          <t>2単位まで表示</t>
        </r>
      </text>
    </comment>
    <comment ref="B48" authorId="0" shapeId="0">
      <text>
        <r>
          <rPr>
            <sz val="9"/>
            <color indexed="81"/>
            <rFont val="ＭＳ Ｐゴシック"/>
            <family val="3"/>
            <charset val="128"/>
          </rPr>
          <t xml:space="preserve">履修科目を2科目まで記入する
</t>
        </r>
      </text>
    </comment>
    <comment ref="R48" authorId="0" shapeId="0">
      <text>
        <r>
          <rPr>
            <sz val="9"/>
            <color indexed="81"/>
            <rFont val="ＭＳ Ｐゴシック"/>
            <family val="3"/>
            <charset val="128"/>
          </rPr>
          <t>2単位まで表示</t>
        </r>
      </text>
    </comment>
    <comment ref="C186" authorId="0" shapeId="0">
      <text>
        <r>
          <rPr>
            <b/>
            <sz val="9"/>
            <color indexed="81"/>
            <rFont val="ＭＳ Ｐゴシック"/>
            <family val="3"/>
            <charset val="128"/>
          </rPr>
          <t>履修科目名を記入のこと</t>
        </r>
      </text>
    </comment>
    <comment ref="F186" authorId="0" shapeId="0">
      <text>
        <r>
          <rPr>
            <sz val="9"/>
            <color indexed="81"/>
            <rFont val="ＭＳ Ｐゴシック"/>
            <family val="3"/>
            <charset val="128"/>
          </rPr>
          <t>上限2単位</t>
        </r>
      </text>
    </comment>
    <comment ref="C198" authorId="0" shapeId="0">
      <text>
        <r>
          <rPr>
            <b/>
            <sz val="9"/>
            <color indexed="81"/>
            <rFont val="ＭＳ Ｐゴシック"/>
            <family val="3"/>
            <charset val="128"/>
          </rPr>
          <t>履修科目名を記入のこと</t>
        </r>
      </text>
    </comment>
    <comment ref="C210" authorId="0" shapeId="0">
      <text>
        <r>
          <rPr>
            <b/>
            <sz val="9"/>
            <color indexed="81"/>
            <rFont val="ＭＳ Ｐゴシック"/>
            <family val="3"/>
            <charset val="128"/>
          </rPr>
          <t>履修科目名を記入のこと</t>
        </r>
      </text>
    </comment>
  </commentList>
</comments>
</file>

<file path=xl/comments3.xml><?xml version="1.0" encoding="utf-8"?>
<comments xmlns="http://schemas.openxmlformats.org/spreadsheetml/2006/main">
  <authors>
    <author>onakabep</author>
  </authors>
  <commentList>
    <comment ref="E6" authorId="0" shapeId="0">
      <text>
        <r>
          <rPr>
            <sz val="9"/>
            <color indexed="81"/>
            <rFont val="ＭＳ Ｐゴシック"/>
            <family val="3"/>
            <charset val="128"/>
          </rPr>
          <t>教員による評価結果を記入のこと</t>
        </r>
      </text>
    </comment>
  </commentList>
</comments>
</file>

<file path=xl/comments4.xml><?xml version="1.0" encoding="utf-8"?>
<comments xmlns="http://schemas.openxmlformats.org/spreadsheetml/2006/main">
  <authors>
    <author>onakabep</author>
  </authors>
  <commentList>
    <comment ref="K49" authorId="0" shapeId="0">
      <text>
        <r>
          <rPr>
            <sz val="9"/>
            <color indexed="81"/>
            <rFont val="ＭＳ Ｐゴシック"/>
            <family val="3"/>
            <charset val="128"/>
          </rPr>
          <t>単位数／（136/4×学年）％</t>
        </r>
      </text>
    </comment>
  </commentList>
</comments>
</file>

<file path=xl/comments5.xml><?xml version="1.0" encoding="utf-8"?>
<comments xmlns="http://schemas.openxmlformats.org/spreadsheetml/2006/main">
  <authors>
    <author>onakabep</author>
  </authors>
  <commentList>
    <comment ref="B1" authorId="0" shapeId="0">
      <text>
        <r>
          <rPr>
            <sz val="9"/>
            <color indexed="81"/>
            <rFont val="ＭＳ Ｐゴシック"/>
            <family val="3"/>
            <charset val="128"/>
          </rPr>
          <t xml:space="preserve">年度初めのガイダンスに従い，本点検シートを提出すること。
</t>
        </r>
      </text>
    </comment>
    <comment ref="H1" authorId="0" shapeId="0">
      <text>
        <r>
          <rPr>
            <sz val="9"/>
            <color indexed="81"/>
            <rFont val="ＭＳ Ｐゴシック"/>
            <family val="3"/>
            <charset val="128"/>
          </rPr>
          <t>本シートはガイダンス時の指示に従い提出すること。</t>
        </r>
      </text>
    </comment>
    <comment ref="C45" authorId="0" shapeId="0">
      <text>
        <r>
          <rPr>
            <sz val="9"/>
            <color indexed="81"/>
            <rFont val="ＭＳ Ｐゴシック"/>
            <family val="3"/>
            <charset val="128"/>
          </rPr>
          <t>学習教育目標の達成度を自己点検し，得意分野の発展や苦手分野の改善など，今年度の目標を記入。生活習慣や学習態度の改善等も含めて目標を立てること。</t>
        </r>
      </text>
    </comment>
    <comment ref="C47" authorId="0" shapeId="0">
      <text>
        <r>
          <rPr>
            <sz val="9"/>
            <color indexed="81"/>
            <rFont val="ＭＳ Ｐゴシック"/>
            <family val="3"/>
            <charset val="128"/>
          </rPr>
          <t>印刷後に手書きで署名すること。</t>
        </r>
      </text>
    </comment>
  </commentList>
</comments>
</file>

<file path=xl/comments6.xml><?xml version="1.0" encoding="utf-8"?>
<comments xmlns="http://schemas.openxmlformats.org/spreadsheetml/2006/main">
  <authors>
    <author>onakabep</author>
  </authors>
  <commentList>
    <comment ref="B1" authorId="0" shapeId="0">
      <text>
        <r>
          <rPr>
            <sz val="9"/>
            <color indexed="81"/>
            <rFont val="ＭＳ Ｐゴシック"/>
            <family val="3"/>
            <charset val="128"/>
          </rPr>
          <t xml:space="preserve">卒業時に指示に従い，本点検シートを提出すること。
</t>
        </r>
      </text>
    </comment>
    <comment ref="H1" authorId="0" shapeId="0">
      <text>
        <r>
          <rPr>
            <sz val="9"/>
            <color indexed="81"/>
            <rFont val="ＭＳ Ｐゴシック"/>
            <family val="3"/>
            <charset val="128"/>
          </rPr>
          <t>本シートは卒業研究論文審査会後に指示に従い提出すること。</t>
        </r>
      </text>
    </comment>
    <comment ref="C45" authorId="0" shapeId="0">
      <text>
        <r>
          <rPr>
            <sz val="10"/>
            <color indexed="81"/>
            <rFont val="ＭＳ Ｐゴシック"/>
            <family val="3"/>
            <charset val="128"/>
          </rPr>
          <t>学習成果として，自分で自信が持てる分野，能力，態度など，自身の特長を記入すること。</t>
        </r>
      </text>
    </comment>
    <comment ref="C47" authorId="0" shapeId="0">
      <text>
        <r>
          <rPr>
            <sz val="9"/>
            <color indexed="81"/>
            <rFont val="ＭＳ Ｐゴシック"/>
            <family val="3"/>
            <charset val="128"/>
          </rPr>
          <t>印刷後に手書きで署名すること。</t>
        </r>
      </text>
    </comment>
  </commentList>
</comments>
</file>

<file path=xl/sharedStrings.xml><?xml version="1.0" encoding="utf-8"?>
<sst xmlns="http://schemas.openxmlformats.org/spreadsheetml/2006/main" count="1839" uniqueCount="786">
  <si>
    <t>入学年度</t>
    <rPh sb="0" eb="2">
      <t>ニュウガク</t>
    </rPh>
    <rPh sb="2" eb="4">
      <t>ネンド</t>
    </rPh>
    <phoneticPr fontId="3"/>
  </si>
  <si>
    <t>氏名</t>
    <rPh sb="0" eb="2">
      <t>シメイ</t>
    </rPh>
    <phoneticPr fontId="3"/>
  </si>
  <si>
    <t>卒業判定</t>
    <rPh sb="0" eb="2">
      <t>ソツギョウ</t>
    </rPh>
    <rPh sb="2" eb="4">
      <t>ハンテイ</t>
    </rPh>
    <phoneticPr fontId="3"/>
  </si>
  <si>
    <t>科目情報</t>
    <rPh sb="0" eb="2">
      <t>カモク</t>
    </rPh>
    <rPh sb="2" eb="4">
      <t>ジョウホウ</t>
    </rPh>
    <phoneticPr fontId="3"/>
  </si>
  <si>
    <t>条件</t>
    <rPh sb="0" eb="2">
      <t>ジョウケン</t>
    </rPh>
    <phoneticPr fontId="3"/>
  </si>
  <si>
    <t>科目名</t>
    <rPh sb="0" eb="2">
      <t>カモク</t>
    </rPh>
    <rPh sb="2" eb="3">
      <t>メイ</t>
    </rPh>
    <phoneticPr fontId="3"/>
  </si>
  <si>
    <t>単位</t>
    <rPh sb="0" eb="2">
      <t>タンイ</t>
    </rPh>
    <phoneticPr fontId="3"/>
  </si>
  <si>
    <t>成績</t>
    <rPh sb="0" eb="2">
      <t>セイセキ</t>
    </rPh>
    <phoneticPr fontId="1"/>
  </si>
  <si>
    <t>成績</t>
    <rPh sb="0" eb="2">
      <t>セイセキ</t>
    </rPh>
    <phoneticPr fontId="3"/>
  </si>
  <si>
    <t>修得単位</t>
    <rPh sb="0" eb="2">
      <t>シュウトク</t>
    </rPh>
    <rPh sb="2" eb="4">
      <t>タンイ</t>
    </rPh>
    <phoneticPr fontId="3"/>
  </si>
  <si>
    <t>履修</t>
    <rPh sb="0" eb="2">
      <t>リシュウ</t>
    </rPh>
    <phoneticPr fontId="3"/>
  </si>
  <si>
    <t>総合文化科目</t>
    <rPh sb="0" eb="2">
      <t>ソウゴウ</t>
    </rPh>
    <rPh sb="2" eb="4">
      <t>ブンカ</t>
    </rPh>
    <rPh sb="4" eb="6">
      <t>カモク</t>
    </rPh>
    <phoneticPr fontId="3"/>
  </si>
  <si>
    <t>卒業要件</t>
    <rPh sb="0" eb="2">
      <t>ソツギョウ</t>
    </rPh>
    <rPh sb="2" eb="4">
      <t>ヨウケン</t>
    </rPh>
    <phoneticPr fontId="3"/>
  </si>
  <si>
    <t>総合文化ゼミナール</t>
  </si>
  <si>
    <t>―</t>
  </si>
  <si>
    <t>国際関係学Ａ</t>
  </si>
  <si>
    <t>社会学Ａ</t>
  </si>
  <si>
    <t>心理学Ｂ</t>
  </si>
  <si>
    <t>記号論理学Ａ</t>
  </si>
  <si>
    <t>健康スポーツ学科目</t>
    <rPh sb="0" eb="2">
      <t>ケンコウ</t>
    </rPh>
    <rPh sb="6" eb="7">
      <t>ガク</t>
    </rPh>
    <rPh sb="7" eb="9">
      <t>カモク</t>
    </rPh>
    <phoneticPr fontId="3"/>
  </si>
  <si>
    <t>○</t>
    <phoneticPr fontId="7"/>
  </si>
  <si>
    <t>健康・スポーツ学１</t>
    <phoneticPr fontId="3"/>
  </si>
  <si>
    <t>健康・スポーツ学２</t>
    <phoneticPr fontId="3"/>
  </si>
  <si>
    <t>スポーツ実習A</t>
    <rPh sb="4" eb="6">
      <t>ジッシュウ</t>
    </rPh>
    <phoneticPr fontId="3"/>
  </si>
  <si>
    <t>スポーツ実習B</t>
    <rPh sb="4" eb="6">
      <t>ジッシュウ</t>
    </rPh>
    <phoneticPr fontId="3"/>
  </si>
  <si>
    <t>第1外国語</t>
    <rPh sb="0" eb="1">
      <t>ダイ</t>
    </rPh>
    <rPh sb="2" eb="5">
      <t>ガイコクゴ</t>
    </rPh>
    <phoneticPr fontId="3"/>
  </si>
  <si>
    <t>英語</t>
    <rPh sb="0" eb="2">
      <t>エイゴ</t>
    </rPh>
    <phoneticPr fontId="3"/>
  </si>
  <si>
    <t>第2外国語</t>
    <rPh sb="0" eb="1">
      <t>ダイ</t>
    </rPh>
    <rPh sb="2" eb="5">
      <t>ガイコクゴ</t>
    </rPh>
    <phoneticPr fontId="3"/>
  </si>
  <si>
    <t>学部間共通外国語科目</t>
    <rPh sb="0" eb="2">
      <t>ガクブ</t>
    </rPh>
    <rPh sb="2" eb="3">
      <t>カン</t>
    </rPh>
    <rPh sb="3" eb="5">
      <t>キョウツウ</t>
    </rPh>
    <phoneticPr fontId="9"/>
  </si>
  <si>
    <t>複合領域科目</t>
    <rPh sb="0" eb="2">
      <t>フクゴウ</t>
    </rPh>
    <rPh sb="2" eb="4">
      <t>リョウイキ</t>
    </rPh>
    <rPh sb="4" eb="6">
      <t>カモク</t>
    </rPh>
    <phoneticPr fontId="3"/>
  </si>
  <si>
    <t>宇宙科学</t>
  </si>
  <si>
    <t>生体工学</t>
  </si>
  <si>
    <t>生命科学</t>
  </si>
  <si>
    <t>環境と技術</t>
  </si>
  <si>
    <t>環境計画</t>
  </si>
  <si>
    <t>知的財産法</t>
    <rPh sb="0" eb="2">
      <t>チテキ</t>
    </rPh>
    <rPh sb="2" eb="5">
      <t>ザイサンホウ</t>
    </rPh>
    <phoneticPr fontId="9"/>
  </si>
  <si>
    <t>科学技術史</t>
  </si>
  <si>
    <t>技術者倫理</t>
    <rPh sb="0" eb="3">
      <t>ギジュツシャ</t>
    </rPh>
    <rPh sb="3" eb="5">
      <t>リンリ</t>
    </rPh>
    <phoneticPr fontId="9"/>
  </si>
  <si>
    <t>ジョブインターンシップ</t>
    <phoneticPr fontId="9"/>
  </si>
  <si>
    <t>国際実習</t>
    <rPh sb="0" eb="2">
      <t>コクサイ</t>
    </rPh>
    <rPh sb="2" eb="4">
      <t>ジッシュウ</t>
    </rPh>
    <phoneticPr fontId="7"/>
  </si>
  <si>
    <t>プロジェクト実習</t>
    <rPh sb="6" eb="8">
      <t>ジッシュウ</t>
    </rPh>
    <phoneticPr fontId="7"/>
  </si>
  <si>
    <t>安全学概論</t>
    <rPh sb="0" eb="2">
      <t>アンゼン</t>
    </rPh>
    <rPh sb="2" eb="3">
      <t>ガク</t>
    </rPh>
    <rPh sb="3" eb="5">
      <t>ガイロン</t>
    </rPh>
    <phoneticPr fontId="7"/>
  </si>
  <si>
    <t>共通総合講座Ａ</t>
  </si>
  <si>
    <t>共通総合講座Ｂ</t>
  </si>
  <si>
    <t>教職関係専門科目</t>
    <rPh sb="0" eb="2">
      <t>キョウショク</t>
    </rPh>
    <rPh sb="2" eb="4">
      <t>カンケイ</t>
    </rPh>
    <rPh sb="4" eb="6">
      <t>センモン</t>
    </rPh>
    <rPh sb="6" eb="8">
      <t>カモク</t>
    </rPh>
    <phoneticPr fontId="3"/>
  </si>
  <si>
    <t>代数１</t>
    <rPh sb="0" eb="2">
      <t>ダイスウ</t>
    </rPh>
    <phoneticPr fontId="10"/>
  </si>
  <si>
    <t>代数２</t>
    <rPh sb="0" eb="2">
      <t>ダイスウ</t>
    </rPh>
    <phoneticPr fontId="10"/>
  </si>
  <si>
    <t>幾何１</t>
    <rPh sb="0" eb="2">
      <t>キカ</t>
    </rPh>
    <phoneticPr fontId="10"/>
  </si>
  <si>
    <t>幾何２</t>
    <rPh sb="0" eb="2">
      <t>キカ</t>
    </rPh>
    <phoneticPr fontId="10"/>
  </si>
  <si>
    <t>解析１</t>
    <rPh sb="0" eb="2">
      <t>カイセキ</t>
    </rPh>
    <phoneticPr fontId="10"/>
  </si>
  <si>
    <t>解析２</t>
    <rPh sb="0" eb="2">
      <t>カイセキ</t>
    </rPh>
    <phoneticPr fontId="10"/>
  </si>
  <si>
    <t>他学部科目</t>
    <rPh sb="0" eb="1">
      <t>タ</t>
    </rPh>
    <rPh sb="1" eb="3">
      <t>ガクブ</t>
    </rPh>
    <rPh sb="3" eb="5">
      <t>カモク</t>
    </rPh>
    <phoneticPr fontId="3"/>
  </si>
  <si>
    <t>60単位以下</t>
    <rPh sb="2" eb="4">
      <t>タンイ</t>
    </rPh>
    <rPh sb="4" eb="6">
      <t>イカ</t>
    </rPh>
    <phoneticPr fontId="3"/>
  </si>
  <si>
    <t>他学科科目</t>
    <rPh sb="0" eb="1">
      <t>タ</t>
    </rPh>
    <rPh sb="1" eb="3">
      <t>ガッカ</t>
    </rPh>
    <rPh sb="3" eb="5">
      <t>カモク</t>
    </rPh>
    <phoneticPr fontId="3"/>
  </si>
  <si>
    <t>20単位以下</t>
    <rPh sb="2" eb="4">
      <t>タンイ</t>
    </rPh>
    <rPh sb="4" eb="6">
      <t>イカ</t>
    </rPh>
    <phoneticPr fontId="3"/>
  </si>
  <si>
    <t>―</t>
    <phoneticPr fontId="3"/>
  </si>
  <si>
    <t>日本語</t>
    <rPh sb="0" eb="3">
      <t>ニホンゴ</t>
    </rPh>
    <phoneticPr fontId="3"/>
  </si>
  <si>
    <t>思想論Ａ</t>
  </si>
  <si>
    <t>思想論Ｂ</t>
  </si>
  <si>
    <t>C</t>
    <phoneticPr fontId="3"/>
  </si>
  <si>
    <t>記号論理学Ｂ</t>
  </si>
  <si>
    <t>文学Ａ</t>
  </si>
  <si>
    <t>文学Ｂ</t>
  </si>
  <si>
    <t>西洋美術史Ａ</t>
  </si>
  <si>
    <t>西洋美術史Ｂ</t>
  </si>
  <si>
    <t>自然科学史Ａ</t>
  </si>
  <si>
    <t>自然科学史Ｂ</t>
  </si>
  <si>
    <t>日本史Ａ</t>
  </si>
  <si>
    <t>日本史Ｂ</t>
  </si>
  <si>
    <t>世界史Ａ</t>
  </si>
  <si>
    <t>世界史Ｂ</t>
  </si>
  <si>
    <t>文化人類学Ａ</t>
  </si>
  <si>
    <t>文化人類学Ｂ</t>
  </si>
  <si>
    <t>心理学Ａ</t>
  </si>
  <si>
    <t>法学Ａ（日本国憲法）</t>
  </si>
  <si>
    <t>現代政治論Ａ</t>
  </si>
  <si>
    <t>現代政治論Ｂ</t>
  </si>
  <si>
    <t>近代経済学Ａ</t>
  </si>
  <si>
    <t>近代経済学Ｂ</t>
  </si>
  <si>
    <t>社会学Ｂ</t>
  </si>
  <si>
    <t>国際関係学Ｂ</t>
  </si>
  <si>
    <t>運動の科学Ａ</t>
  </si>
  <si>
    <t>運動の科学Ｂ</t>
  </si>
  <si>
    <t>成績区分</t>
    <rPh sb="0" eb="2">
      <t>セイセキ</t>
    </rPh>
    <rPh sb="2" eb="4">
      <t>クブン</t>
    </rPh>
    <phoneticPr fontId="3"/>
  </si>
  <si>
    <t>総文科目</t>
    <rPh sb="0" eb="1">
      <t>ソウ</t>
    </rPh>
    <rPh sb="1" eb="2">
      <t>ブン</t>
    </rPh>
    <rPh sb="2" eb="4">
      <t>カモク</t>
    </rPh>
    <phoneticPr fontId="3"/>
  </si>
  <si>
    <t>外国語２</t>
    <rPh sb="0" eb="3">
      <t>ガイコクゴ</t>
    </rPh>
    <phoneticPr fontId="3"/>
  </si>
  <si>
    <t>外国語１</t>
    <rPh sb="0" eb="3">
      <t>ガイコクゴ</t>
    </rPh>
    <phoneticPr fontId="3"/>
  </si>
  <si>
    <t>理系基礎科目A群</t>
    <rPh sb="0" eb="2">
      <t>リケイ</t>
    </rPh>
    <rPh sb="2" eb="4">
      <t>キソ</t>
    </rPh>
    <rPh sb="4" eb="6">
      <t>カモク</t>
    </rPh>
    <rPh sb="7" eb="8">
      <t>グン</t>
    </rPh>
    <phoneticPr fontId="3"/>
  </si>
  <si>
    <t>○</t>
    <phoneticPr fontId="7"/>
  </si>
  <si>
    <t>基礎線形代数１</t>
    <rPh sb="0" eb="2">
      <t>キソ</t>
    </rPh>
    <rPh sb="2" eb="4">
      <t>センケイ</t>
    </rPh>
    <rPh sb="4" eb="6">
      <t>ダイスウ</t>
    </rPh>
    <phoneticPr fontId="7"/>
  </si>
  <si>
    <t>基礎線形代数１実習</t>
    <phoneticPr fontId="7"/>
  </si>
  <si>
    <t>基礎線形代数２</t>
    <rPh sb="0" eb="2">
      <t>キソ</t>
    </rPh>
    <rPh sb="2" eb="4">
      <t>センケイ</t>
    </rPh>
    <rPh sb="4" eb="6">
      <t>ダイスウ</t>
    </rPh>
    <phoneticPr fontId="7"/>
  </si>
  <si>
    <t>基礎微分積分１</t>
    <rPh sb="0" eb="2">
      <t>キソ</t>
    </rPh>
    <rPh sb="2" eb="4">
      <t>ビブン</t>
    </rPh>
    <rPh sb="4" eb="6">
      <t>セキブン</t>
    </rPh>
    <phoneticPr fontId="7"/>
  </si>
  <si>
    <t>基礎微分積分１実習</t>
    <phoneticPr fontId="7"/>
  </si>
  <si>
    <t>基礎微分積分２</t>
    <rPh sb="0" eb="2">
      <t>キソ</t>
    </rPh>
    <rPh sb="2" eb="4">
      <t>ビブン</t>
    </rPh>
    <rPh sb="4" eb="6">
      <t>セキブン</t>
    </rPh>
    <phoneticPr fontId="7"/>
  </si>
  <si>
    <t>基礎力学１</t>
    <rPh sb="0" eb="2">
      <t>キソ</t>
    </rPh>
    <rPh sb="2" eb="4">
      <t>リキガク</t>
    </rPh>
    <phoneticPr fontId="7"/>
  </si>
  <si>
    <t>基礎力学２</t>
    <rPh sb="0" eb="2">
      <t>キソ</t>
    </rPh>
    <rPh sb="2" eb="4">
      <t>リキガク</t>
    </rPh>
    <phoneticPr fontId="7"/>
  </si>
  <si>
    <t>基礎物理学実験１</t>
    <rPh sb="0" eb="2">
      <t>キソ</t>
    </rPh>
    <rPh sb="2" eb="5">
      <t>ブツリガク</t>
    </rPh>
    <rPh sb="5" eb="7">
      <t>ジッケン</t>
    </rPh>
    <phoneticPr fontId="7"/>
  </si>
  <si>
    <t>基礎物理学実験２</t>
    <rPh sb="0" eb="2">
      <t>キソ</t>
    </rPh>
    <rPh sb="2" eb="5">
      <t>ブツリガク</t>
    </rPh>
    <rPh sb="5" eb="7">
      <t>ジッケン</t>
    </rPh>
    <phoneticPr fontId="7"/>
  </si>
  <si>
    <t>基礎化学１</t>
    <rPh sb="0" eb="2">
      <t>キソ</t>
    </rPh>
    <rPh sb="2" eb="4">
      <t>カガク</t>
    </rPh>
    <phoneticPr fontId="7"/>
  </si>
  <si>
    <t>基礎化学２</t>
    <rPh sb="0" eb="2">
      <t>キソ</t>
    </rPh>
    <rPh sb="2" eb="4">
      <t>カガク</t>
    </rPh>
    <phoneticPr fontId="7"/>
  </si>
  <si>
    <t>基礎化学実験１</t>
    <rPh sb="0" eb="2">
      <t>キソ</t>
    </rPh>
    <rPh sb="2" eb="4">
      <t>カガク</t>
    </rPh>
    <rPh sb="4" eb="6">
      <t>ジッケン</t>
    </rPh>
    <phoneticPr fontId="7"/>
  </si>
  <si>
    <t>基礎化学実験２</t>
    <rPh sb="0" eb="2">
      <t>キソ</t>
    </rPh>
    <rPh sb="2" eb="4">
      <t>カガク</t>
    </rPh>
    <rPh sb="4" eb="6">
      <t>ジッケン</t>
    </rPh>
    <phoneticPr fontId="7"/>
  </si>
  <si>
    <t>基礎生物学１</t>
    <rPh sb="0" eb="2">
      <t>キソ</t>
    </rPh>
    <rPh sb="2" eb="4">
      <t>セイブツ</t>
    </rPh>
    <rPh sb="4" eb="5">
      <t>ガク</t>
    </rPh>
    <phoneticPr fontId="7"/>
  </si>
  <si>
    <t>基礎生物学２</t>
    <rPh sb="0" eb="2">
      <t>キソ</t>
    </rPh>
    <rPh sb="2" eb="4">
      <t>セイブツ</t>
    </rPh>
    <rPh sb="4" eb="5">
      <t>ガク</t>
    </rPh>
    <phoneticPr fontId="7"/>
  </si>
  <si>
    <t>基礎地学１</t>
    <rPh sb="0" eb="2">
      <t>キソ</t>
    </rPh>
    <rPh sb="2" eb="4">
      <t>チガク</t>
    </rPh>
    <phoneticPr fontId="7"/>
  </si>
  <si>
    <t>基礎地学２</t>
    <rPh sb="0" eb="2">
      <t>キソ</t>
    </rPh>
    <rPh sb="2" eb="4">
      <t>チガク</t>
    </rPh>
    <phoneticPr fontId="7"/>
  </si>
  <si>
    <t>理系基礎科目B群</t>
    <rPh sb="0" eb="2">
      <t>リケイ</t>
    </rPh>
    <rPh sb="2" eb="4">
      <t>キソ</t>
    </rPh>
    <rPh sb="4" eb="6">
      <t>カモク</t>
    </rPh>
    <rPh sb="7" eb="8">
      <t>グン</t>
    </rPh>
    <phoneticPr fontId="3"/>
  </si>
  <si>
    <t>線形代数学１</t>
    <rPh sb="0" eb="2">
      <t>センケイ</t>
    </rPh>
    <rPh sb="2" eb="5">
      <t>ダイスウガク</t>
    </rPh>
    <phoneticPr fontId="7"/>
  </si>
  <si>
    <t>線形代数学２</t>
    <rPh sb="0" eb="2">
      <t>センケイ</t>
    </rPh>
    <rPh sb="2" eb="5">
      <t>ダイスウガク</t>
    </rPh>
    <phoneticPr fontId="7"/>
  </si>
  <si>
    <t>微分積分学１</t>
    <rPh sb="0" eb="2">
      <t>ビブン</t>
    </rPh>
    <rPh sb="2" eb="4">
      <t>セキブン</t>
    </rPh>
    <rPh sb="4" eb="5">
      <t>ガク</t>
    </rPh>
    <phoneticPr fontId="7"/>
  </si>
  <si>
    <t>微分積分学２</t>
    <rPh sb="0" eb="2">
      <t>ビブン</t>
    </rPh>
    <rPh sb="2" eb="4">
      <t>セキブン</t>
    </rPh>
    <rPh sb="4" eb="5">
      <t>ガク</t>
    </rPh>
    <phoneticPr fontId="7"/>
  </si>
  <si>
    <t>応用数理概論１</t>
    <rPh sb="0" eb="2">
      <t>オウヨウ</t>
    </rPh>
    <rPh sb="2" eb="4">
      <t>スウリ</t>
    </rPh>
    <rPh sb="4" eb="6">
      <t>ガイロン</t>
    </rPh>
    <phoneticPr fontId="7"/>
  </si>
  <si>
    <t>応用数理概論２</t>
    <rPh sb="0" eb="2">
      <t>オウヨウ</t>
    </rPh>
    <rPh sb="2" eb="4">
      <t>スウリ</t>
    </rPh>
    <rPh sb="4" eb="6">
      <t>ガイロン</t>
    </rPh>
    <phoneticPr fontId="7"/>
  </si>
  <si>
    <t>確率・統計</t>
    <rPh sb="0" eb="2">
      <t>カクリツ</t>
    </rPh>
    <rPh sb="3" eb="5">
      <t>トウケイ</t>
    </rPh>
    <phoneticPr fontId="7"/>
  </si>
  <si>
    <t>微分方程式</t>
    <rPh sb="0" eb="2">
      <t>ビブン</t>
    </rPh>
    <rPh sb="2" eb="5">
      <t>ホウテイシキ</t>
    </rPh>
    <phoneticPr fontId="7"/>
  </si>
  <si>
    <t>△</t>
    <phoneticPr fontId="7"/>
  </si>
  <si>
    <t>基礎電磁気学</t>
    <rPh sb="0" eb="2">
      <t>キソ</t>
    </rPh>
    <rPh sb="2" eb="5">
      <t>デンジキ</t>
    </rPh>
    <rPh sb="5" eb="6">
      <t>ガク</t>
    </rPh>
    <phoneticPr fontId="7"/>
  </si>
  <si>
    <t>熱・統計力学基礎</t>
    <rPh sb="0" eb="1">
      <t>ネツ</t>
    </rPh>
    <rPh sb="2" eb="4">
      <t>トウケイ</t>
    </rPh>
    <rPh sb="4" eb="6">
      <t>リキガク</t>
    </rPh>
    <rPh sb="6" eb="8">
      <t>キソ</t>
    </rPh>
    <phoneticPr fontId="7"/>
  </si>
  <si>
    <t>振動波動論</t>
    <rPh sb="0" eb="2">
      <t>シンドウ</t>
    </rPh>
    <rPh sb="2" eb="4">
      <t>ハドウ</t>
    </rPh>
    <rPh sb="4" eb="5">
      <t>ロン</t>
    </rPh>
    <phoneticPr fontId="7"/>
  </si>
  <si>
    <t>現代物理学</t>
    <rPh sb="0" eb="2">
      <t>ゲンダイ</t>
    </rPh>
    <rPh sb="2" eb="5">
      <t>ブツリガク</t>
    </rPh>
    <phoneticPr fontId="7"/>
  </si>
  <si>
    <t>物理学概論</t>
    <rPh sb="3" eb="5">
      <t>ガイロン</t>
    </rPh>
    <phoneticPr fontId="9"/>
  </si>
  <si>
    <t>基礎有機化学</t>
    <rPh sb="0" eb="2">
      <t>キソ</t>
    </rPh>
    <rPh sb="2" eb="4">
      <t>ユウキ</t>
    </rPh>
    <rPh sb="4" eb="6">
      <t>カガク</t>
    </rPh>
    <phoneticPr fontId="7"/>
  </si>
  <si>
    <t>基礎無機化学</t>
    <rPh sb="0" eb="2">
      <t>キソ</t>
    </rPh>
    <rPh sb="2" eb="4">
      <t>ムキ</t>
    </rPh>
    <rPh sb="4" eb="6">
      <t>カガク</t>
    </rPh>
    <phoneticPr fontId="7"/>
  </si>
  <si>
    <t>基礎物理化学</t>
    <rPh sb="0" eb="2">
      <t>キソ</t>
    </rPh>
    <rPh sb="2" eb="4">
      <t>ブツリ</t>
    </rPh>
    <rPh sb="4" eb="6">
      <t>カガク</t>
    </rPh>
    <phoneticPr fontId="7"/>
  </si>
  <si>
    <t>物質・材料の化学</t>
    <rPh sb="0" eb="2">
      <t>ブッシツ</t>
    </rPh>
    <rPh sb="3" eb="5">
      <t>ザイリョウ</t>
    </rPh>
    <rPh sb="6" eb="8">
      <t>カガク</t>
    </rPh>
    <phoneticPr fontId="7"/>
  </si>
  <si>
    <t>最先端化学</t>
    <rPh sb="0" eb="3">
      <t>サイセンタン</t>
    </rPh>
    <rPh sb="3" eb="5">
      <t>カガク</t>
    </rPh>
    <phoneticPr fontId="7"/>
  </si>
  <si>
    <t>情報処理１</t>
    <rPh sb="0" eb="2">
      <t>ジョウホウ</t>
    </rPh>
    <rPh sb="2" eb="4">
      <t>ショリ</t>
    </rPh>
    <phoneticPr fontId="7"/>
  </si>
  <si>
    <t>情報処理２</t>
    <rPh sb="0" eb="2">
      <t>ジョウホウ</t>
    </rPh>
    <rPh sb="2" eb="4">
      <t>ショリ</t>
    </rPh>
    <phoneticPr fontId="7"/>
  </si>
  <si>
    <t>○□</t>
    <phoneticPr fontId="7"/>
  </si>
  <si>
    <t>情報処理実習１</t>
    <rPh sb="0" eb="2">
      <t>ジョウホウ</t>
    </rPh>
    <rPh sb="2" eb="4">
      <t>ショリ</t>
    </rPh>
    <rPh sb="4" eb="6">
      <t>ジッシュウ</t>
    </rPh>
    <phoneticPr fontId="7"/>
  </si>
  <si>
    <t>情報処理実習２</t>
    <rPh sb="0" eb="2">
      <t>ジョウホウ</t>
    </rPh>
    <rPh sb="2" eb="4">
      <t>ショリ</t>
    </rPh>
    <rPh sb="4" eb="6">
      <t>ジッシュウ</t>
    </rPh>
    <phoneticPr fontId="7"/>
  </si>
  <si>
    <t>基礎電気回路１</t>
    <rPh sb="0" eb="2">
      <t>キソ</t>
    </rPh>
    <rPh sb="2" eb="4">
      <t>デンキ</t>
    </rPh>
    <rPh sb="4" eb="6">
      <t>カイロ</t>
    </rPh>
    <phoneticPr fontId="7"/>
  </si>
  <si>
    <t>基礎電気回路２</t>
    <rPh sb="0" eb="2">
      <t>キソ</t>
    </rPh>
    <rPh sb="2" eb="4">
      <t>デンキ</t>
    </rPh>
    <rPh sb="4" eb="6">
      <t>カイロ</t>
    </rPh>
    <phoneticPr fontId="7"/>
  </si>
  <si>
    <t>科学技術英語１</t>
    <rPh sb="0" eb="2">
      <t>カガク</t>
    </rPh>
    <rPh sb="2" eb="4">
      <t>ギジュツ</t>
    </rPh>
    <rPh sb="4" eb="6">
      <t>エイゴ</t>
    </rPh>
    <phoneticPr fontId="7"/>
  </si>
  <si>
    <t>科学技術英語２</t>
    <rPh sb="0" eb="2">
      <t>カガク</t>
    </rPh>
    <rPh sb="2" eb="4">
      <t>ギジュツ</t>
    </rPh>
    <rPh sb="4" eb="6">
      <t>エイゴ</t>
    </rPh>
    <phoneticPr fontId="7"/>
  </si>
  <si>
    <t>学科専門科目</t>
    <rPh sb="0" eb="2">
      <t>ガッカ</t>
    </rPh>
    <rPh sb="2" eb="4">
      <t>センモン</t>
    </rPh>
    <rPh sb="4" eb="6">
      <t>カモク</t>
    </rPh>
    <phoneticPr fontId="3"/>
  </si>
  <si>
    <t>○□</t>
    <phoneticPr fontId="9"/>
  </si>
  <si>
    <t>基礎機械工学１</t>
    <rPh sb="2" eb="4">
      <t>キカイ</t>
    </rPh>
    <rPh sb="4" eb="6">
      <t>コウガク</t>
    </rPh>
    <phoneticPr fontId="13"/>
  </si>
  <si>
    <t>基礎機械工学２</t>
    <rPh sb="0" eb="2">
      <t>キソ</t>
    </rPh>
    <rPh sb="2" eb="4">
      <t>キカイ</t>
    </rPh>
    <rPh sb="4" eb="6">
      <t>コウガク</t>
    </rPh>
    <phoneticPr fontId="13"/>
  </si>
  <si>
    <t>機械工学講座</t>
    <rPh sb="0" eb="2">
      <t>キカイ</t>
    </rPh>
    <rPh sb="2" eb="4">
      <t>コウガク</t>
    </rPh>
    <rPh sb="4" eb="6">
      <t>コウザ</t>
    </rPh>
    <phoneticPr fontId="14"/>
  </si>
  <si>
    <t>○</t>
    <phoneticPr fontId="9"/>
  </si>
  <si>
    <t>工業力学・演習</t>
    <rPh sb="0" eb="2">
      <t>コウギョウ</t>
    </rPh>
    <rPh sb="2" eb="4">
      <t>リキガク</t>
    </rPh>
    <rPh sb="5" eb="7">
      <t>エンシュウ</t>
    </rPh>
    <phoneticPr fontId="13"/>
  </si>
  <si>
    <t>機械力学・演習</t>
    <rPh sb="0" eb="2">
      <t>キカイ</t>
    </rPh>
    <rPh sb="2" eb="4">
      <t>リキガク</t>
    </rPh>
    <rPh sb="5" eb="7">
      <t>エンシュウ</t>
    </rPh>
    <phoneticPr fontId="13"/>
  </si>
  <si>
    <t>機械のダイナミクス</t>
    <rPh sb="0" eb="2">
      <t>キカイ</t>
    </rPh>
    <phoneticPr fontId="14"/>
  </si>
  <si>
    <t>機械振動学</t>
    <rPh sb="0" eb="2">
      <t>キカイ</t>
    </rPh>
    <rPh sb="2" eb="5">
      <t>シンドウガク</t>
    </rPh>
    <phoneticPr fontId="15"/>
  </si>
  <si>
    <t>材料力学</t>
    <rPh sb="0" eb="2">
      <t>ザイリョウ</t>
    </rPh>
    <rPh sb="2" eb="4">
      <t>リキガク</t>
    </rPh>
    <phoneticPr fontId="15"/>
  </si>
  <si>
    <t>材料力学演習</t>
    <rPh sb="0" eb="2">
      <t>ザイリョウ</t>
    </rPh>
    <rPh sb="2" eb="4">
      <t>リキガク</t>
    </rPh>
    <rPh sb="4" eb="6">
      <t>エンシュウ</t>
    </rPh>
    <phoneticPr fontId="13"/>
  </si>
  <si>
    <t>応用材料力学・演習</t>
    <rPh sb="0" eb="2">
      <t>オウヨウ</t>
    </rPh>
    <rPh sb="2" eb="4">
      <t>ザイリョウ</t>
    </rPh>
    <rPh sb="4" eb="6">
      <t>リキガク</t>
    </rPh>
    <rPh sb="7" eb="9">
      <t>エンシュウ</t>
    </rPh>
    <phoneticPr fontId="13"/>
  </si>
  <si>
    <t>弾性力学・FEM</t>
    <rPh sb="0" eb="2">
      <t>ダンセイ</t>
    </rPh>
    <rPh sb="2" eb="4">
      <t>リキガク</t>
    </rPh>
    <phoneticPr fontId="14"/>
  </si>
  <si>
    <t>機械材料学１</t>
    <rPh sb="0" eb="2">
      <t>キカイ</t>
    </rPh>
    <rPh sb="2" eb="4">
      <t>ザイリョウ</t>
    </rPh>
    <rPh sb="4" eb="5">
      <t>ガク</t>
    </rPh>
    <phoneticPr fontId="14"/>
  </si>
  <si>
    <t>機械材料学２</t>
    <rPh sb="0" eb="2">
      <t>キカイ</t>
    </rPh>
    <rPh sb="2" eb="4">
      <t>ザイリョウ</t>
    </rPh>
    <rPh sb="4" eb="5">
      <t>ガク</t>
    </rPh>
    <phoneticPr fontId="14"/>
  </si>
  <si>
    <t>塑性力学</t>
    <rPh sb="0" eb="2">
      <t>ソセイ</t>
    </rPh>
    <rPh sb="2" eb="4">
      <t>リキガク</t>
    </rPh>
    <phoneticPr fontId="15"/>
  </si>
  <si>
    <t>熱力学・演習</t>
    <rPh sb="0" eb="3">
      <t>ネツリキガク</t>
    </rPh>
    <rPh sb="4" eb="6">
      <t>エンシュウ</t>
    </rPh>
    <phoneticPr fontId="13"/>
  </si>
  <si>
    <t>工業熱力学</t>
    <rPh sb="0" eb="2">
      <t>コウギョウ</t>
    </rPh>
    <rPh sb="2" eb="5">
      <t>ネツリキガク</t>
    </rPh>
    <phoneticPr fontId="14"/>
  </si>
  <si>
    <t>伝熱工学</t>
    <rPh sb="0" eb="2">
      <t>デンネツ</t>
    </rPh>
    <rPh sb="2" eb="4">
      <t>コウガク</t>
    </rPh>
    <phoneticPr fontId="14"/>
  </si>
  <si>
    <t>エンジンシステム</t>
  </si>
  <si>
    <t>エネルギー変換工学A</t>
    <rPh sb="5" eb="7">
      <t>ヘンカン</t>
    </rPh>
    <rPh sb="7" eb="9">
      <t>コウガク</t>
    </rPh>
    <phoneticPr fontId="15"/>
  </si>
  <si>
    <t>エネルギー変換工学B</t>
    <rPh sb="5" eb="7">
      <t>ヘンカン</t>
    </rPh>
    <rPh sb="7" eb="9">
      <t>コウガク</t>
    </rPh>
    <phoneticPr fontId="15"/>
  </si>
  <si>
    <t>流れ学・演習</t>
    <rPh sb="0" eb="1">
      <t>ナガ</t>
    </rPh>
    <rPh sb="2" eb="3">
      <t>ガク</t>
    </rPh>
    <rPh sb="4" eb="6">
      <t>エンシュウ</t>
    </rPh>
    <phoneticPr fontId="13"/>
  </si>
  <si>
    <t>流体力学１</t>
    <rPh sb="0" eb="2">
      <t>リュウタイ</t>
    </rPh>
    <rPh sb="2" eb="4">
      <t>リキガク</t>
    </rPh>
    <phoneticPr fontId="14"/>
  </si>
  <si>
    <t>流体力学２</t>
    <rPh sb="0" eb="2">
      <t>リュウタイ</t>
    </rPh>
    <rPh sb="2" eb="4">
      <t>リキガク</t>
    </rPh>
    <phoneticPr fontId="14"/>
  </si>
  <si>
    <t>流体機械</t>
    <rPh sb="0" eb="2">
      <t>リュウタイ</t>
    </rPh>
    <rPh sb="2" eb="4">
      <t>キカイ</t>
    </rPh>
    <phoneticPr fontId="14"/>
  </si>
  <si>
    <t>機械工作</t>
    <rPh sb="0" eb="2">
      <t>キカイ</t>
    </rPh>
    <rPh sb="2" eb="4">
      <t>コウサク</t>
    </rPh>
    <phoneticPr fontId="14"/>
  </si>
  <si>
    <t>機械加工学</t>
    <rPh sb="0" eb="2">
      <t>キカイ</t>
    </rPh>
    <rPh sb="2" eb="4">
      <t>カコウ</t>
    </rPh>
    <rPh sb="4" eb="5">
      <t>ガク</t>
    </rPh>
    <phoneticPr fontId="14"/>
  </si>
  <si>
    <t>塑性加工学</t>
    <rPh sb="0" eb="2">
      <t>ソセイ</t>
    </rPh>
    <rPh sb="2" eb="4">
      <t>カコウ</t>
    </rPh>
    <rPh sb="4" eb="5">
      <t>ガク</t>
    </rPh>
    <phoneticPr fontId="14"/>
  </si>
  <si>
    <t>接合工学</t>
    <rPh sb="0" eb="2">
      <t>セツゴウ</t>
    </rPh>
    <rPh sb="2" eb="4">
      <t>コウガク</t>
    </rPh>
    <phoneticPr fontId="15"/>
  </si>
  <si>
    <t>機械製図</t>
    <rPh sb="0" eb="2">
      <t>キカイ</t>
    </rPh>
    <rPh sb="2" eb="4">
      <t>セイズ</t>
    </rPh>
    <phoneticPr fontId="13"/>
  </si>
  <si>
    <t>機械設計製図１</t>
    <rPh sb="0" eb="2">
      <t>キカイ</t>
    </rPh>
    <rPh sb="2" eb="4">
      <t>セッケイ</t>
    </rPh>
    <rPh sb="4" eb="6">
      <t>セイズ</t>
    </rPh>
    <phoneticPr fontId="13"/>
  </si>
  <si>
    <t>機械設計製図２</t>
    <rPh sb="0" eb="2">
      <t>キカイ</t>
    </rPh>
    <rPh sb="2" eb="4">
      <t>セッケイ</t>
    </rPh>
    <rPh sb="4" eb="6">
      <t>セイズ</t>
    </rPh>
    <phoneticPr fontId="13"/>
  </si>
  <si>
    <t>機械要素設計</t>
    <rPh sb="0" eb="2">
      <t>キカイ</t>
    </rPh>
    <rPh sb="2" eb="4">
      <t>ヨウソ</t>
    </rPh>
    <rPh sb="4" eb="6">
      <t>セッケイ</t>
    </rPh>
    <phoneticPr fontId="13"/>
  </si>
  <si>
    <t>機械システム設計</t>
    <rPh sb="0" eb="2">
      <t>キカイ</t>
    </rPh>
    <rPh sb="6" eb="8">
      <t>セッケイ</t>
    </rPh>
    <phoneticPr fontId="13"/>
  </si>
  <si>
    <t>△□</t>
    <phoneticPr fontId="9"/>
  </si>
  <si>
    <t>機械システム設計実習</t>
    <rPh sb="0" eb="2">
      <t>キカイ</t>
    </rPh>
    <rPh sb="6" eb="8">
      <t>セッケイ</t>
    </rPh>
    <rPh sb="8" eb="10">
      <t>ジッシュウ</t>
    </rPh>
    <phoneticPr fontId="13"/>
  </si>
  <si>
    <t>メカトロニクス実習</t>
    <rPh sb="7" eb="9">
      <t>ジッシュウ</t>
    </rPh>
    <phoneticPr fontId="13"/>
  </si>
  <si>
    <t>生産工学</t>
    <rPh sb="0" eb="2">
      <t>セイサン</t>
    </rPh>
    <rPh sb="2" eb="4">
      <t>コウガク</t>
    </rPh>
    <phoneticPr fontId="15"/>
  </si>
  <si>
    <t>メカトロニクス</t>
  </si>
  <si>
    <t>ロボット工学</t>
    <rPh sb="4" eb="6">
      <t>コウガク</t>
    </rPh>
    <phoneticPr fontId="14"/>
  </si>
  <si>
    <t>ビークル工学</t>
    <rPh sb="4" eb="6">
      <t>コウガク</t>
    </rPh>
    <phoneticPr fontId="15"/>
  </si>
  <si>
    <t>実験工学・演習</t>
    <rPh sb="0" eb="2">
      <t>ジッケン</t>
    </rPh>
    <rPh sb="2" eb="4">
      <t>コウガク</t>
    </rPh>
    <rPh sb="5" eb="7">
      <t>エンシュウ</t>
    </rPh>
    <phoneticPr fontId="13"/>
  </si>
  <si>
    <t>計測工学</t>
    <rPh sb="0" eb="2">
      <t>ケイソク</t>
    </rPh>
    <rPh sb="2" eb="4">
      <t>コウガク</t>
    </rPh>
    <phoneticPr fontId="14"/>
  </si>
  <si>
    <t>機械工学実験１</t>
    <rPh sb="0" eb="2">
      <t>キカイ</t>
    </rPh>
    <rPh sb="2" eb="4">
      <t>コウガク</t>
    </rPh>
    <rPh sb="4" eb="6">
      <t>ジッケン</t>
    </rPh>
    <phoneticPr fontId="13"/>
  </si>
  <si>
    <t>機械工学実験２</t>
    <rPh sb="0" eb="2">
      <t>キカイ</t>
    </rPh>
    <rPh sb="2" eb="4">
      <t>コウガク</t>
    </rPh>
    <rPh sb="4" eb="6">
      <t>ジッケン</t>
    </rPh>
    <phoneticPr fontId="13"/>
  </si>
  <si>
    <t>制御工学１</t>
    <rPh sb="0" eb="2">
      <t>セイギョ</t>
    </rPh>
    <rPh sb="2" eb="4">
      <t>コウガク</t>
    </rPh>
    <phoneticPr fontId="14"/>
  </si>
  <si>
    <t>制御工学２</t>
    <rPh sb="0" eb="2">
      <t>セイギョ</t>
    </rPh>
    <rPh sb="2" eb="4">
      <t>コウガク</t>
    </rPh>
    <phoneticPr fontId="14"/>
  </si>
  <si>
    <t>コンピュータ機械工学</t>
    <rPh sb="6" eb="8">
      <t>キカイ</t>
    </rPh>
    <rPh sb="8" eb="10">
      <t>コウガク</t>
    </rPh>
    <phoneticPr fontId="14"/>
  </si>
  <si>
    <t>画像処理工学</t>
    <rPh sb="0" eb="2">
      <t>ガゾウ</t>
    </rPh>
    <rPh sb="2" eb="4">
      <t>ショリ</t>
    </rPh>
    <rPh sb="4" eb="6">
      <t>コウガク</t>
    </rPh>
    <phoneticPr fontId="15"/>
  </si>
  <si>
    <t>創造デザイン実習</t>
    <rPh sb="0" eb="2">
      <t>ソウゾウ</t>
    </rPh>
    <rPh sb="6" eb="8">
      <t>ジッシュウ</t>
    </rPh>
    <phoneticPr fontId="15"/>
  </si>
  <si>
    <t>ゼミナール１</t>
  </si>
  <si>
    <t>ゼミナール２</t>
  </si>
  <si>
    <t>卒業研究１</t>
    <rPh sb="0" eb="2">
      <t>ソツギョウ</t>
    </rPh>
    <rPh sb="2" eb="4">
      <t>ケンキュウ</t>
    </rPh>
    <phoneticPr fontId="13"/>
  </si>
  <si>
    <t>卒業研究２</t>
    <rPh sb="0" eb="2">
      <t>ソツギョウ</t>
    </rPh>
    <rPh sb="2" eb="4">
      <t>ケンキュウ</t>
    </rPh>
    <phoneticPr fontId="13"/>
  </si>
  <si>
    <t>進級条件単位数</t>
    <phoneticPr fontId="3"/>
  </si>
  <si>
    <t>科目種類</t>
    <rPh sb="0" eb="2">
      <t>カモク</t>
    </rPh>
    <rPh sb="2" eb="4">
      <t>シュルイ</t>
    </rPh>
    <phoneticPr fontId="1"/>
  </si>
  <si>
    <t>必修単位</t>
    <rPh sb="0" eb="2">
      <t>ヒッシュウ</t>
    </rPh>
    <rPh sb="2" eb="4">
      <t>タンイ</t>
    </rPh>
    <phoneticPr fontId="3"/>
  </si>
  <si>
    <t>―</t>
    <phoneticPr fontId="3"/>
  </si>
  <si>
    <t>2以下</t>
    <rPh sb="1" eb="3">
      <t>イカ</t>
    </rPh>
    <phoneticPr fontId="3"/>
  </si>
  <si>
    <t>総単位数</t>
    <rPh sb="0" eb="1">
      <t>ソウ</t>
    </rPh>
    <rPh sb="1" eb="4">
      <t>タンイスウ</t>
    </rPh>
    <phoneticPr fontId="1"/>
  </si>
  <si>
    <t>総合文化科目</t>
  </si>
  <si>
    <t>健康スポーツ学科目</t>
  </si>
  <si>
    <t>第1外国語</t>
  </si>
  <si>
    <t>第2外国語</t>
  </si>
  <si>
    <t>学部間共通外国語科目</t>
  </si>
  <si>
    <t>理系基礎科目A群</t>
  </si>
  <si>
    <t>理系基礎科目B群</t>
  </si>
  <si>
    <t>学科専門科目</t>
  </si>
  <si>
    <t>複合領域科目</t>
  </si>
  <si>
    <t>教職関係専門科目</t>
  </si>
  <si>
    <t>他学部科目</t>
  </si>
  <si>
    <t>他学科科目</t>
  </si>
  <si>
    <t>卒業要件２単位以上</t>
    <rPh sb="0" eb="2">
      <t>ソツギョウ</t>
    </rPh>
    <rPh sb="2" eb="4">
      <t>ヨウケン</t>
    </rPh>
    <phoneticPr fontId="3"/>
  </si>
  <si>
    <t>卒業要件８単位以上</t>
    <rPh sb="0" eb="2">
      <t>ソツギョウ</t>
    </rPh>
    <rPh sb="2" eb="4">
      <t>ヨウケン</t>
    </rPh>
    <phoneticPr fontId="3"/>
  </si>
  <si>
    <t>卒業要件６単位以上</t>
    <rPh sb="0" eb="2">
      <t>ソツギョウ</t>
    </rPh>
    <rPh sb="2" eb="4">
      <t>ヨウケン</t>
    </rPh>
    <phoneticPr fontId="3"/>
  </si>
  <si>
    <t>卒業要件16単位以上</t>
    <rPh sb="0" eb="2">
      <t>ソツギョウ</t>
    </rPh>
    <rPh sb="2" eb="4">
      <t>ヨウケン</t>
    </rPh>
    <rPh sb="6" eb="8">
      <t>タンイ</t>
    </rPh>
    <rPh sb="8" eb="10">
      <t>イジョウ</t>
    </rPh>
    <phoneticPr fontId="3"/>
  </si>
  <si>
    <t>卒業要件14単位以上</t>
    <rPh sb="0" eb="2">
      <t>ソツギョウ</t>
    </rPh>
    <rPh sb="2" eb="4">
      <t>ヨウケン</t>
    </rPh>
    <rPh sb="6" eb="8">
      <t>タンイ</t>
    </rPh>
    <rPh sb="8" eb="10">
      <t>イジョウ</t>
    </rPh>
    <phoneticPr fontId="3"/>
  </si>
  <si>
    <t>必修50単位</t>
    <rPh sb="0" eb="2">
      <t>ヒッシュウ</t>
    </rPh>
    <rPh sb="4" eb="6">
      <t>タンイ</t>
    </rPh>
    <phoneticPr fontId="3"/>
  </si>
  <si>
    <t>必修14単位</t>
    <rPh sb="0" eb="2">
      <t>ヒッシュウ</t>
    </rPh>
    <rPh sb="4" eb="6">
      <t>タンイ</t>
    </rPh>
    <phoneticPr fontId="3"/>
  </si>
  <si>
    <t>必修16単位</t>
    <rPh sb="0" eb="2">
      <t>ヒッシュウ</t>
    </rPh>
    <rPh sb="4" eb="6">
      <t>タンイ</t>
    </rPh>
    <phoneticPr fontId="3"/>
  </si>
  <si>
    <t>必修2単位</t>
    <rPh sb="0" eb="2">
      <t>ヒッシュウ</t>
    </rPh>
    <rPh sb="3" eb="5">
      <t>タンイ</t>
    </rPh>
    <phoneticPr fontId="3"/>
  </si>
  <si>
    <t>必修６単位</t>
    <rPh sb="0" eb="2">
      <t>ヒッシュウ</t>
    </rPh>
    <rPh sb="3" eb="5">
      <t>タンイ</t>
    </rPh>
    <phoneticPr fontId="3"/>
  </si>
  <si>
    <t>必修８単位</t>
    <rPh sb="0" eb="2">
      <t>ヒッシュウ</t>
    </rPh>
    <rPh sb="3" eb="5">
      <t>タンイ</t>
    </rPh>
    <phoneticPr fontId="3"/>
  </si>
  <si>
    <t>必修２単位</t>
    <rPh sb="0" eb="2">
      <t>ヒッシュウ</t>
    </rPh>
    <rPh sb="3" eb="5">
      <t>タンイ</t>
    </rPh>
    <phoneticPr fontId="3"/>
  </si>
  <si>
    <t>単位／小計</t>
    <rPh sb="0" eb="2">
      <t>タンイ</t>
    </rPh>
    <rPh sb="3" eb="5">
      <t>ショウケイ</t>
    </rPh>
    <phoneticPr fontId="3"/>
  </si>
  <si>
    <t>履修計画</t>
    <rPh sb="0" eb="2">
      <t>リシュウ</t>
    </rPh>
    <rPh sb="2" eb="4">
      <t>ケイカク</t>
    </rPh>
    <phoneticPr fontId="3"/>
  </si>
  <si>
    <t>判定</t>
    <rPh sb="0" eb="2">
      <t>ハンテイ</t>
    </rPh>
    <phoneticPr fontId="3"/>
  </si>
  <si>
    <t>見込</t>
    <rPh sb="0" eb="2">
      <t>ミコ</t>
    </rPh>
    <phoneticPr fontId="3"/>
  </si>
  <si>
    <t>卒業見込</t>
    <rPh sb="0" eb="2">
      <t>ソツギョウ</t>
    </rPh>
    <rPh sb="2" eb="4">
      <t>ミコ</t>
    </rPh>
    <phoneticPr fontId="3"/>
  </si>
  <si>
    <t>年度入学</t>
    <rPh sb="0" eb="2">
      <t>ネンド</t>
    </rPh>
    <rPh sb="2" eb="4">
      <t>ニュウガク</t>
    </rPh>
    <phoneticPr fontId="3"/>
  </si>
  <si>
    <t>番号</t>
    <rPh sb="0" eb="2">
      <t>バンゴウ</t>
    </rPh>
    <phoneticPr fontId="3"/>
  </si>
  <si>
    <t>組</t>
    <rPh sb="0" eb="1">
      <t>ク</t>
    </rPh>
    <phoneticPr fontId="3"/>
  </si>
  <si>
    <t>学年</t>
    <rPh sb="0" eb="2">
      <t>ガクネン</t>
    </rPh>
    <phoneticPr fontId="3"/>
  </si>
  <si>
    <t>混合クラス</t>
    <rPh sb="0" eb="2">
      <t>コンゴウ</t>
    </rPh>
    <phoneticPr fontId="3"/>
  </si>
  <si>
    <t>学生番号</t>
    <rPh sb="0" eb="2">
      <t>ガクセイ</t>
    </rPh>
    <rPh sb="2" eb="4">
      <t>バンゴウ</t>
    </rPh>
    <phoneticPr fontId="3"/>
  </si>
  <si>
    <t>以下には点検時の情報を記入</t>
    <rPh sb="0" eb="2">
      <t>イカ</t>
    </rPh>
    <rPh sb="4" eb="6">
      <t>テンケン</t>
    </rPh>
    <rPh sb="6" eb="7">
      <t>ジ</t>
    </rPh>
    <rPh sb="8" eb="10">
      <t>ジョウホウ</t>
    </rPh>
    <rPh sb="11" eb="13">
      <t>キニュウ</t>
    </rPh>
    <phoneticPr fontId="3"/>
  </si>
  <si>
    <t>S</t>
    <phoneticPr fontId="3"/>
  </si>
  <si>
    <t>R</t>
    <phoneticPr fontId="3"/>
  </si>
  <si>
    <t>A</t>
    <phoneticPr fontId="3"/>
  </si>
  <si>
    <t>B</t>
    <phoneticPr fontId="3"/>
  </si>
  <si>
    <t>C</t>
    <phoneticPr fontId="3"/>
  </si>
  <si>
    <t>F</t>
    <phoneticPr fontId="3"/>
  </si>
  <si>
    <t>ドイツ語</t>
    <phoneticPr fontId="3"/>
  </si>
  <si>
    <t>フランス語</t>
    <phoneticPr fontId="3"/>
  </si>
  <si>
    <t>ロシア語</t>
    <phoneticPr fontId="3"/>
  </si>
  <si>
    <t>中国語</t>
    <phoneticPr fontId="3"/>
  </si>
  <si>
    <t>日本事情Ａ</t>
    <phoneticPr fontId="3"/>
  </si>
  <si>
    <t>日本事情Ｂ</t>
    <phoneticPr fontId="3"/>
  </si>
  <si>
    <t>英語</t>
  </si>
  <si>
    <t>ドイツ語</t>
  </si>
  <si>
    <t>AP総計</t>
    <rPh sb="2" eb="4">
      <t>ソウケイ</t>
    </rPh>
    <phoneticPr fontId="3"/>
  </si>
  <si>
    <t>AP</t>
    <phoneticPr fontId="3"/>
  </si>
  <si>
    <t>計画
単位</t>
    <rPh sb="0" eb="2">
      <t>ケイカク</t>
    </rPh>
    <rPh sb="3" eb="5">
      <t>タンイ</t>
    </rPh>
    <phoneticPr fontId="3"/>
  </si>
  <si>
    <t>修得
単位</t>
    <rPh sb="0" eb="2">
      <t>シュウトク</t>
    </rPh>
    <rPh sb="3" eb="5">
      <t>タンイ</t>
    </rPh>
    <phoneticPr fontId="3"/>
  </si>
  <si>
    <t>観点番号</t>
    <rPh sb="0" eb="2">
      <t>カンテン</t>
    </rPh>
    <rPh sb="2" eb="4">
      <t>バンゴウ</t>
    </rPh>
    <phoneticPr fontId="1"/>
  </si>
  <si>
    <t>観点</t>
    <rPh sb="0" eb="2">
      <t>カンテン</t>
    </rPh>
    <phoneticPr fontId="1"/>
  </si>
  <si>
    <t>観点</t>
    <rPh sb="0" eb="2">
      <t>カンテン</t>
    </rPh>
    <phoneticPr fontId="3"/>
  </si>
  <si>
    <t>任意</t>
    <rPh sb="0" eb="2">
      <t>ニンイ</t>
    </rPh>
    <phoneticPr fontId="1"/>
  </si>
  <si>
    <t>４年</t>
    <rPh sb="1" eb="2">
      <t>ネン</t>
    </rPh>
    <phoneticPr fontId="1"/>
  </si>
  <si>
    <t>1年</t>
    <rPh sb="1" eb="2">
      <t>ネン</t>
    </rPh>
    <phoneticPr fontId="1"/>
  </si>
  <si>
    <t>機械設計製図２</t>
    <rPh sb="0" eb="2">
      <t>キカイ</t>
    </rPh>
    <rPh sb="2" eb="4">
      <t>セッケイ</t>
    </rPh>
    <rPh sb="4" eb="6">
      <t>セイズ</t>
    </rPh>
    <phoneticPr fontId="3"/>
  </si>
  <si>
    <t>機械工学実験２</t>
    <rPh sb="0" eb="2">
      <t>キカイ</t>
    </rPh>
    <rPh sb="2" eb="4">
      <t>コウガク</t>
    </rPh>
    <rPh sb="4" eb="6">
      <t>ジッケン</t>
    </rPh>
    <phoneticPr fontId="3"/>
  </si>
  <si>
    <t>２年</t>
    <rPh sb="1" eb="2">
      <t>ネン</t>
    </rPh>
    <phoneticPr fontId="1"/>
  </si>
  <si>
    <t>機械工学実験１</t>
    <rPh sb="0" eb="2">
      <t>キカイ</t>
    </rPh>
    <rPh sb="2" eb="4">
      <t>コウガク</t>
    </rPh>
    <rPh sb="4" eb="6">
      <t>ジッケン</t>
    </rPh>
    <phoneticPr fontId="3"/>
  </si>
  <si>
    <t>A-1-4</t>
  </si>
  <si>
    <t>多様な活動（留学）</t>
  </si>
  <si>
    <t>多様な活動（ボランティア）</t>
  </si>
  <si>
    <t>多様な活動（一般）</t>
  </si>
  <si>
    <t>A-2-2</t>
  </si>
  <si>
    <t>技術者の役割と責任</t>
  </si>
  <si>
    <t>C-1-3</t>
  </si>
  <si>
    <t>主体的選択</t>
  </si>
  <si>
    <t>C-2-3</t>
  </si>
  <si>
    <t>課題設定</t>
  </si>
  <si>
    <t>C-2-4</t>
  </si>
  <si>
    <t>解決策の立案（卒研）</t>
  </si>
  <si>
    <t>C-3-1</t>
  </si>
  <si>
    <t>計画立案</t>
  </si>
  <si>
    <t>C-3-4</t>
  </si>
  <si>
    <t>C-3-5</t>
  </si>
  <si>
    <t>C-4-1</t>
  </si>
  <si>
    <t>共同作業（協力）</t>
  </si>
  <si>
    <t>C-4-4</t>
  </si>
  <si>
    <t>グループワーク（実験）</t>
  </si>
  <si>
    <t>プレゼン</t>
  </si>
  <si>
    <t>C-5-4</t>
  </si>
  <si>
    <t>評価機会</t>
    <rPh sb="0" eb="2">
      <t>ヒョウカ</t>
    </rPh>
    <rPh sb="2" eb="4">
      <t>キカイ</t>
    </rPh>
    <phoneticPr fontId="3"/>
  </si>
  <si>
    <t>科目等</t>
    <rPh sb="0" eb="2">
      <t>カモク</t>
    </rPh>
    <rPh sb="2" eb="3">
      <t>トウ</t>
    </rPh>
    <phoneticPr fontId="3"/>
  </si>
  <si>
    <t>必須・
任意</t>
    <rPh sb="0" eb="2">
      <t>ヒッス</t>
    </rPh>
    <rPh sb="4" eb="6">
      <t>ニンイ</t>
    </rPh>
    <phoneticPr fontId="3"/>
  </si>
  <si>
    <t>担当者</t>
    <rPh sb="0" eb="3">
      <t>タントウシャ</t>
    </rPh>
    <phoneticPr fontId="3"/>
  </si>
  <si>
    <t>担任</t>
    <rPh sb="0" eb="2">
      <t>タンニン</t>
    </rPh>
    <phoneticPr fontId="3"/>
  </si>
  <si>
    <t>指導教員</t>
    <rPh sb="0" eb="2">
      <t>シドウ</t>
    </rPh>
    <rPh sb="2" eb="4">
      <t>キョウイン</t>
    </rPh>
    <phoneticPr fontId="3"/>
  </si>
  <si>
    <t>審査員</t>
    <rPh sb="0" eb="3">
      <t>シンサイン</t>
    </rPh>
    <phoneticPr fontId="3"/>
  </si>
  <si>
    <t>必須</t>
    <rPh sb="0" eb="2">
      <t>ヒッス</t>
    </rPh>
    <phoneticPr fontId="3"/>
  </si>
  <si>
    <t>ガイダンス等</t>
    <rPh sb="5" eb="6">
      <t>トウ</t>
    </rPh>
    <phoneticPr fontId="3"/>
  </si>
  <si>
    <t>学習・教育目標の達成判定</t>
    <rPh sb="0" eb="2">
      <t>ガクシュウ</t>
    </rPh>
    <rPh sb="3" eb="5">
      <t>キョウイク</t>
    </rPh>
    <rPh sb="5" eb="7">
      <t>モクヒョウ</t>
    </rPh>
    <rPh sb="8" eb="10">
      <t>タッセイ</t>
    </rPh>
    <rPh sb="10" eb="12">
      <t>ハンテイ</t>
    </rPh>
    <phoneticPr fontId="3"/>
  </si>
  <si>
    <t>達成数＝</t>
    <rPh sb="0" eb="2">
      <t>タッセイ</t>
    </rPh>
    <rPh sb="2" eb="3">
      <t>スウ</t>
    </rPh>
    <phoneticPr fontId="3"/>
  </si>
  <si>
    <t>小項目</t>
    <rPh sb="0" eb="3">
      <t>ショウコウモク</t>
    </rPh>
    <phoneticPr fontId="3"/>
  </si>
  <si>
    <t>達成数</t>
    <rPh sb="0" eb="2">
      <t>タッセイ</t>
    </rPh>
    <rPh sb="2" eb="3">
      <t>スウ</t>
    </rPh>
    <phoneticPr fontId="3"/>
  </si>
  <si>
    <t>G</t>
    <phoneticPr fontId="3"/>
  </si>
  <si>
    <t>判定基準</t>
    <rPh sb="0" eb="2">
      <t>ハンテイ</t>
    </rPh>
    <rPh sb="2" eb="4">
      <t>キジュン</t>
    </rPh>
    <phoneticPr fontId="3"/>
  </si>
  <si>
    <t>A-1</t>
    <phoneticPr fontId="3"/>
  </si>
  <si>
    <t>A-2</t>
    <phoneticPr fontId="3"/>
  </si>
  <si>
    <t>A-1-1</t>
  </si>
  <si>
    <t>教養</t>
  </si>
  <si>
    <t>A-1-3</t>
  </si>
  <si>
    <t>A-2-1</t>
  </si>
  <si>
    <t>技術者倫理</t>
  </si>
  <si>
    <t>AP</t>
    <phoneticPr fontId="3"/>
  </si>
  <si>
    <t>H</t>
    <phoneticPr fontId="3"/>
  </si>
  <si>
    <t>評価</t>
    <rPh sb="0" eb="2">
      <t>ヒョウカ</t>
    </rPh>
    <phoneticPr fontId="3"/>
  </si>
  <si>
    <t>総文8単位，健スポ2単位，機械工学講座</t>
    <rPh sb="0" eb="1">
      <t>ソウ</t>
    </rPh>
    <rPh sb="1" eb="2">
      <t>ブン</t>
    </rPh>
    <rPh sb="3" eb="5">
      <t>タンイ</t>
    </rPh>
    <rPh sb="6" eb="7">
      <t>ケン</t>
    </rPh>
    <rPh sb="10" eb="12">
      <t>タンイ</t>
    </rPh>
    <rPh sb="13" eb="15">
      <t>キカイ</t>
    </rPh>
    <rPh sb="15" eb="17">
      <t>コウガク</t>
    </rPh>
    <rPh sb="17" eb="19">
      <t>コウザ</t>
    </rPh>
    <phoneticPr fontId="3"/>
  </si>
  <si>
    <t>語学１，語学２</t>
    <rPh sb="4" eb="6">
      <t>ゴガク</t>
    </rPh>
    <phoneticPr fontId="3"/>
  </si>
  <si>
    <t>A-1-2</t>
    <phoneticPr fontId="3"/>
  </si>
  <si>
    <t>要求数</t>
    <rPh sb="0" eb="2">
      <t>ヨウキュウ</t>
    </rPh>
    <rPh sb="2" eb="3">
      <t>スウ</t>
    </rPh>
    <phoneticPr fontId="3"/>
  </si>
  <si>
    <t>B-1-3</t>
  </si>
  <si>
    <t>B-1-4</t>
  </si>
  <si>
    <t>基礎電気回路１・２</t>
  </si>
  <si>
    <t>B-1-5</t>
  </si>
  <si>
    <t>情報処理１・２，情報処理実習１・２，コンピュータ機械工学</t>
    <rPh sb="24" eb="26">
      <t>キカイ</t>
    </rPh>
    <rPh sb="26" eb="28">
      <t>コウガク</t>
    </rPh>
    <phoneticPr fontId="3"/>
  </si>
  <si>
    <t>B-1-6</t>
  </si>
  <si>
    <t>基礎機械工学１，機械工学実験１・２，創造デザイン実習，ゼミナール１・２</t>
  </si>
  <si>
    <t>生物・地学</t>
    <rPh sb="0" eb="2">
      <t>セイブツ</t>
    </rPh>
    <rPh sb="3" eb="5">
      <t>チガク</t>
    </rPh>
    <phoneticPr fontId="3"/>
  </si>
  <si>
    <t>基礎生物学１・２，基礎地学１・２，宇宙科学，生体工学，生命科学</t>
    <rPh sb="0" eb="2">
      <t>キソ</t>
    </rPh>
    <rPh sb="2" eb="5">
      <t>セイブツガク</t>
    </rPh>
    <rPh sb="9" eb="11">
      <t>キソ</t>
    </rPh>
    <rPh sb="11" eb="13">
      <t>チガク</t>
    </rPh>
    <rPh sb="17" eb="19">
      <t>ウチュウ</t>
    </rPh>
    <rPh sb="19" eb="21">
      <t>カガク</t>
    </rPh>
    <rPh sb="22" eb="24">
      <t>セイタイ</t>
    </rPh>
    <rPh sb="24" eb="26">
      <t>コウガク</t>
    </rPh>
    <rPh sb="27" eb="29">
      <t>セイメイ</t>
    </rPh>
    <rPh sb="29" eb="31">
      <t>カガク</t>
    </rPh>
    <phoneticPr fontId="3"/>
  </si>
  <si>
    <t>数学</t>
    <phoneticPr fontId="3"/>
  </si>
  <si>
    <t>物理</t>
    <phoneticPr fontId="3"/>
  </si>
  <si>
    <t>化学</t>
    <phoneticPr fontId="3"/>
  </si>
  <si>
    <t>電気</t>
    <phoneticPr fontId="3"/>
  </si>
  <si>
    <t>情報</t>
    <phoneticPr fontId="3"/>
  </si>
  <si>
    <t>論理</t>
    <phoneticPr fontId="3"/>
  </si>
  <si>
    <t>B-2</t>
  </si>
  <si>
    <t>B-2-1</t>
  </si>
  <si>
    <t>運動と振動</t>
  </si>
  <si>
    <t>工業力学・演習，機械力学・演習，機械のダイナミクス，機械振動学</t>
  </si>
  <si>
    <t>材料と構造</t>
  </si>
  <si>
    <t>エネルギーと流れ</t>
  </si>
  <si>
    <t>B-2-5</t>
  </si>
  <si>
    <t>機械とシステム</t>
  </si>
  <si>
    <t>機械設計製図２，メカトロニクス，ロボット工学，機械システム設計，ビークル工学，エンジンシステム</t>
  </si>
  <si>
    <t>専門基盤</t>
  </si>
  <si>
    <t>材料力学，材料力学演習，応用材料力学・演習，弾性力学・FEM，塑性力学，機械材料学１・２</t>
    <phoneticPr fontId="3"/>
  </si>
  <si>
    <t>生産・管理</t>
    <phoneticPr fontId="3"/>
  </si>
  <si>
    <t>設計</t>
    <phoneticPr fontId="3"/>
  </si>
  <si>
    <t>基礎機械工学２，機械製図，機械設計製図１・２，機械要素設計，機械システム設計，機械システム設計実習，メカトロニクス実習，創造デザイン実習</t>
    <rPh sb="60" eb="62">
      <t>ソウゾウ</t>
    </rPh>
    <rPh sb="66" eb="68">
      <t>ジッシュウ</t>
    </rPh>
    <phoneticPr fontId="3"/>
  </si>
  <si>
    <t>実験工学・演習，計測工学，機械工学実験１・２，制御工学１・２，コンピュータ機械工学，画像処理工学</t>
    <phoneticPr fontId="3"/>
  </si>
  <si>
    <t>B-2-6</t>
    <phoneticPr fontId="3"/>
  </si>
  <si>
    <t>メカトロニクス</t>
    <phoneticPr fontId="3"/>
  </si>
  <si>
    <t>ロボット工学</t>
    <rPh sb="4" eb="6">
      <t>コウガク</t>
    </rPh>
    <phoneticPr fontId="3"/>
  </si>
  <si>
    <t>機械システム設計</t>
    <rPh sb="0" eb="2">
      <t>キカイ</t>
    </rPh>
    <rPh sb="6" eb="8">
      <t>セッケイ</t>
    </rPh>
    <phoneticPr fontId="3"/>
  </si>
  <si>
    <t>ビークル工学</t>
    <rPh sb="4" eb="6">
      <t>コウガク</t>
    </rPh>
    <phoneticPr fontId="3"/>
  </si>
  <si>
    <t>エンジンシステム</t>
    <phoneticPr fontId="3"/>
  </si>
  <si>
    <t>実験工学・演習</t>
    <rPh sb="0" eb="2">
      <t>ジッケン</t>
    </rPh>
    <rPh sb="2" eb="4">
      <t>コウガク</t>
    </rPh>
    <rPh sb="5" eb="7">
      <t>エンシュウ</t>
    </rPh>
    <phoneticPr fontId="3"/>
  </si>
  <si>
    <t>計測工学</t>
    <rPh sb="0" eb="2">
      <t>ケイソク</t>
    </rPh>
    <rPh sb="2" eb="4">
      <t>コウガク</t>
    </rPh>
    <phoneticPr fontId="3"/>
  </si>
  <si>
    <t>制御工学１</t>
    <rPh sb="0" eb="2">
      <t>セイギョ</t>
    </rPh>
    <rPh sb="2" eb="4">
      <t>コウガク</t>
    </rPh>
    <phoneticPr fontId="3"/>
  </si>
  <si>
    <t>制御工学２</t>
    <rPh sb="0" eb="2">
      <t>セイギョ</t>
    </rPh>
    <rPh sb="2" eb="4">
      <t>コウガク</t>
    </rPh>
    <phoneticPr fontId="3"/>
  </si>
  <si>
    <t>コンピュータ機械工学</t>
    <rPh sb="6" eb="8">
      <t>キカイ</t>
    </rPh>
    <rPh sb="8" eb="10">
      <t>コウガク</t>
    </rPh>
    <phoneticPr fontId="3"/>
  </si>
  <si>
    <t>画像処理工学</t>
    <rPh sb="0" eb="2">
      <t>ガゾウ</t>
    </rPh>
    <rPh sb="2" eb="4">
      <t>ショリ</t>
    </rPh>
    <rPh sb="4" eb="6">
      <t>コウガク</t>
    </rPh>
    <phoneticPr fontId="3"/>
  </si>
  <si>
    <t>C-1</t>
  </si>
  <si>
    <t>C-1-1</t>
  </si>
  <si>
    <t>学習習慣</t>
  </si>
  <si>
    <t>C-1-2</t>
  </si>
  <si>
    <t>自己学習</t>
  </si>
  <si>
    <t>C-1-6</t>
  </si>
  <si>
    <t>工業力学・演習</t>
    <rPh sb="0" eb="2">
      <t>コウギョウ</t>
    </rPh>
    <rPh sb="2" eb="4">
      <t>リキガク</t>
    </rPh>
    <rPh sb="5" eb="7">
      <t>エンシュウ</t>
    </rPh>
    <phoneticPr fontId="3"/>
  </si>
  <si>
    <t>熱力学・演習</t>
    <rPh sb="0" eb="3">
      <t>ネツリキガク</t>
    </rPh>
    <rPh sb="4" eb="6">
      <t>エンシュウ</t>
    </rPh>
    <phoneticPr fontId="3"/>
  </si>
  <si>
    <t>流れ学・演習</t>
    <rPh sb="0" eb="1">
      <t>ナガ</t>
    </rPh>
    <rPh sb="2" eb="3">
      <t>ガク</t>
    </rPh>
    <rPh sb="4" eb="6">
      <t>エンシュウ</t>
    </rPh>
    <phoneticPr fontId="3"/>
  </si>
  <si>
    <t>機械力学・演習</t>
    <rPh sb="0" eb="2">
      <t>キカイ</t>
    </rPh>
    <rPh sb="2" eb="4">
      <t>リキガク</t>
    </rPh>
    <rPh sb="5" eb="7">
      <t>エンシュウ</t>
    </rPh>
    <phoneticPr fontId="3"/>
  </si>
  <si>
    <t>材料力学演習</t>
    <rPh sb="0" eb="2">
      <t>ザイリョウ</t>
    </rPh>
    <rPh sb="2" eb="4">
      <t>リキガク</t>
    </rPh>
    <rPh sb="4" eb="6">
      <t>エンシュウ</t>
    </rPh>
    <phoneticPr fontId="3"/>
  </si>
  <si>
    <t>授業時間以外に自主的に学習する１週間当たりの時間数</t>
  </si>
  <si>
    <t>AP計
評価値</t>
    <rPh sb="2" eb="3">
      <t>ケイ</t>
    </rPh>
    <rPh sb="4" eb="6">
      <t>ヒョウカ</t>
    </rPh>
    <rPh sb="6" eb="7">
      <t>アタイ</t>
    </rPh>
    <phoneticPr fontId="3"/>
  </si>
  <si>
    <t>A：興味を持って取り組む課題を選んでいる．選定理由や動機を明確に説明できる．
B：興味を持って取り組む課題を選んでいる．選定過程を説明している。
F：課題の選定理由を説明できていない．</t>
    <rPh sb="60" eb="62">
      <t>センテイ</t>
    </rPh>
    <rPh sb="62" eb="64">
      <t>カテイ</t>
    </rPh>
    <rPh sb="65" eb="67">
      <t>セツメイ</t>
    </rPh>
    <phoneticPr fontId="3"/>
  </si>
  <si>
    <t>S</t>
    <phoneticPr fontId="3"/>
  </si>
  <si>
    <t>IDシートに申告した学習時間</t>
    <rPh sb="6" eb="8">
      <t>シンコク</t>
    </rPh>
    <rPh sb="10" eb="12">
      <t>ガクシュウ</t>
    </rPh>
    <rPh sb="12" eb="14">
      <t>ジカン</t>
    </rPh>
    <phoneticPr fontId="3"/>
  </si>
  <si>
    <t>C-2-2</t>
  </si>
  <si>
    <t>複合的課題</t>
  </si>
  <si>
    <t>種々の制約条件を含む複合的な課題に取り組む必要性を理解している。</t>
    <rPh sb="17" eb="18">
      <t>ト</t>
    </rPh>
    <rPh sb="19" eb="20">
      <t>ク</t>
    </rPh>
    <rPh sb="21" eb="24">
      <t>ヒツヨウセイ</t>
    </rPh>
    <rPh sb="25" eb="27">
      <t>リカイ</t>
    </rPh>
    <phoneticPr fontId="1"/>
  </si>
  <si>
    <t>背景を踏まえた課題の設定ができる．</t>
  </si>
  <si>
    <t>中間審査</t>
  </si>
  <si>
    <t>解決策の立案（卒研）</t>
    <rPh sb="7" eb="9">
      <t>ソツケン</t>
    </rPh>
    <phoneticPr fontId="1"/>
  </si>
  <si>
    <t>複合領域科目の修得</t>
    <rPh sb="7" eb="9">
      <t>シュウトク</t>
    </rPh>
    <phoneticPr fontId="3"/>
  </si>
  <si>
    <t>A：自らの調査や検討から，自身の研究テーマの重要性や必要性を理解し，説明できる．
B：自身の研究テーマの重要性や必要性を理解している．
F：自身の研究テーマの重要性や必要性を理解していない．</t>
    <phoneticPr fontId="3"/>
  </si>
  <si>
    <t>C-2</t>
    <phoneticPr fontId="3"/>
  </si>
  <si>
    <t>C-3</t>
    <phoneticPr fontId="3"/>
  </si>
  <si>
    <t>卒業研究２</t>
    <rPh sb="0" eb="2">
      <t>ソツギョウ</t>
    </rPh>
    <rPh sb="2" eb="4">
      <t>ケンキュウ</t>
    </rPh>
    <phoneticPr fontId="1"/>
  </si>
  <si>
    <t>期限（レポート）</t>
  </si>
  <si>
    <t>期限を守り，レポートを完成させることができる．</t>
  </si>
  <si>
    <t>機械工学実験２</t>
  </si>
  <si>
    <t>完成</t>
    <rPh sb="0" eb="2">
      <t>カンセイ</t>
    </rPh>
    <phoneticPr fontId="1"/>
  </si>
  <si>
    <t>A：研究実施に関し，制約条件を考慮した計画を立てている。
B：研究実施に関し，計画を立てている。
F：研究実施に関し，計画性は不十分である</t>
    <phoneticPr fontId="3"/>
  </si>
  <si>
    <t>C-4-2</t>
  </si>
  <si>
    <t>異分野のメンバーを含むチームで仕事を行う経験がある．</t>
  </si>
  <si>
    <t>グループワーク（実験）</t>
    <rPh sb="8" eb="10">
      <t>ジッケン</t>
    </rPh>
    <phoneticPr fontId="1"/>
  </si>
  <si>
    <t>レポート（別紙，チームワークの重要性，実践，反省）で評価</t>
    <rPh sb="5" eb="7">
      <t>ベッシ</t>
    </rPh>
    <rPh sb="15" eb="18">
      <t>ジュウヨウセイ</t>
    </rPh>
    <rPh sb="19" eb="21">
      <t>ジッセン</t>
    </rPh>
    <rPh sb="22" eb="24">
      <t>ハンセイ</t>
    </rPh>
    <rPh sb="26" eb="28">
      <t>ヒョウカ</t>
    </rPh>
    <phoneticPr fontId="1"/>
  </si>
  <si>
    <t>研究室内の共同作業に参加，貢献している。研究室内メンバーの学習・研究に協力している。プロジェクト実施にはチームワークが必要なことを理解している。</t>
    <rPh sb="5" eb="7">
      <t>キョウドウ</t>
    </rPh>
    <rPh sb="7" eb="9">
      <t>サギョウ</t>
    </rPh>
    <rPh sb="10" eb="12">
      <t>サンカ</t>
    </rPh>
    <rPh sb="13" eb="15">
      <t>コウケン</t>
    </rPh>
    <rPh sb="20" eb="22">
      <t>ケンキュウ</t>
    </rPh>
    <rPh sb="22" eb="24">
      <t>シツナイ</t>
    </rPh>
    <rPh sb="29" eb="31">
      <t>ガクシュウ</t>
    </rPh>
    <rPh sb="32" eb="34">
      <t>ケンキュウ</t>
    </rPh>
    <rPh sb="35" eb="37">
      <t>キョウリョク</t>
    </rPh>
    <rPh sb="48" eb="50">
      <t>ジッシ</t>
    </rPh>
    <rPh sb="59" eb="61">
      <t>ヒツヨウ</t>
    </rPh>
    <rPh sb="65" eb="67">
      <t>リカイ</t>
    </rPh>
    <phoneticPr fontId="1"/>
  </si>
  <si>
    <t>研究室での共同作業，他者への協力，チームワークの理解のいずれか，ができている</t>
    <rPh sb="5" eb="7">
      <t>キョウドウ</t>
    </rPh>
    <rPh sb="7" eb="9">
      <t>サギョウ</t>
    </rPh>
    <rPh sb="10" eb="12">
      <t>タシャ</t>
    </rPh>
    <rPh sb="14" eb="16">
      <t>キョウリョク</t>
    </rPh>
    <rPh sb="24" eb="26">
      <t>リカイ</t>
    </rPh>
    <phoneticPr fontId="3"/>
  </si>
  <si>
    <t>プロジェクト実習</t>
    <rPh sb="6" eb="8">
      <t>ジッシュウ</t>
    </rPh>
    <phoneticPr fontId="3"/>
  </si>
  <si>
    <t>ジョブインターンシップ</t>
    <phoneticPr fontId="3"/>
  </si>
  <si>
    <t>A： グループワークへ参加し，積極的に周囲と協力しながら，実験を実施に貢献できる
B： グループワークへ参加し，実験の実施に協力できる
F： グループワークへの参加が不十分</t>
    <phoneticPr fontId="3"/>
  </si>
  <si>
    <r>
      <rPr>
        <sz val="10"/>
        <color theme="1"/>
        <rFont val="ＭＳ 明朝"/>
        <family val="1"/>
        <charset val="128"/>
      </rPr>
      <t>卒研審査会</t>
    </r>
    <rPh sb="0" eb="2">
      <t>ソツケン</t>
    </rPh>
    <rPh sb="2" eb="5">
      <t>シンサカイ</t>
    </rPh>
    <phoneticPr fontId="1"/>
  </si>
  <si>
    <r>
      <rPr>
        <sz val="10"/>
        <color theme="1"/>
        <rFont val="ＭＳ 明朝"/>
        <family val="1"/>
        <charset val="128"/>
      </rPr>
      <t>審査会でのプレゼンにより評価</t>
    </r>
    <rPh sb="0" eb="3">
      <t>シンサカイ</t>
    </rPh>
    <rPh sb="12" eb="14">
      <t>ヒョウカ</t>
    </rPh>
    <phoneticPr fontId="1"/>
  </si>
  <si>
    <t>プレゼンテーションは内容が整理され，練習したものになっている。</t>
    <rPh sb="10" eb="12">
      <t>ナイヨウ</t>
    </rPh>
    <phoneticPr fontId="3"/>
  </si>
  <si>
    <t>A：プレゼン資料は簡潔，明快にまとめられ，発表は分かりやすい説明で，制限時間に合わせて行われた．
B：プレゼン資料，発表内容が整理され，制限時間に合わせて発表が行われた．
F：プレゼン資料，発表内容の整理が不十分であり，発表は制限時間に合わせられていない．</t>
    <rPh sb="39" eb="40">
      <t>ア</t>
    </rPh>
    <rPh sb="73" eb="74">
      <t>ア</t>
    </rPh>
    <rPh sb="100" eb="102">
      <t>セイリ</t>
    </rPh>
    <phoneticPr fontId="3"/>
  </si>
  <si>
    <t>卒研の概要は論理的に，簡潔にまとめられている。</t>
    <rPh sb="3" eb="5">
      <t>ガイヨウ</t>
    </rPh>
    <phoneticPr fontId="3"/>
  </si>
  <si>
    <t>要約（卒論概要）</t>
    <rPh sb="3" eb="5">
      <t>ソツロン</t>
    </rPh>
    <rPh sb="5" eb="7">
      <t>ガイヨウ</t>
    </rPh>
    <phoneticPr fontId="3"/>
  </si>
  <si>
    <t>ゼミナール２</t>
    <phoneticPr fontId="3"/>
  </si>
  <si>
    <t>成績</t>
    <rPh sb="0" eb="2">
      <t>セイセキ</t>
    </rPh>
    <phoneticPr fontId="3"/>
  </si>
  <si>
    <t>評価方法</t>
    <rPh sb="0" eb="2">
      <t>ヒョウカ</t>
    </rPh>
    <rPh sb="2" eb="4">
      <t>ホウホウ</t>
    </rPh>
    <phoneticPr fontId="3"/>
  </si>
  <si>
    <t>基礎機械工学２，機械工作，機械加工学，塑性加工学，接合工学，生産工学</t>
    <phoneticPr fontId="3"/>
  </si>
  <si>
    <t>基礎機械工学２</t>
    <phoneticPr fontId="3"/>
  </si>
  <si>
    <t>機械工作</t>
    <phoneticPr fontId="3"/>
  </si>
  <si>
    <t>機械加工学</t>
    <phoneticPr fontId="3"/>
  </si>
  <si>
    <t>塑性加工学</t>
    <phoneticPr fontId="3"/>
  </si>
  <si>
    <t>接合工学</t>
    <phoneticPr fontId="3"/>
  </si>
  <si>
    <t>生産工学</t>
    <phoneticPr fontId="3"/>
  </si>
  <si>
    <t>小計</t>
    <rPh sb="0" eb="2">
      <t>ショウケイ</t>
    </rPh>
    <phoneticPr fontId="3"/>
  </si>
  <si>
    <t>技術者倫理</t>
    <rPh sb="0" eb="3">
      <t>ギジュツシャ</t>
    </rPh>
    <rPh sb="3" eb="5">
      <t>リンリ</t>
    </rPh>
    <phoneticPr fontId="3"/>
  </si>
  <si>
    <t>安全学概論</t>
    <phoneticPr fontId="3"/>
  </si>
  <si>
    <t>機械工学講座</t>
    <phoneticPr fontId="3"/>
  </si>
  <si>
    <t>基礎線形代数１・２，基礎微分積分１・２，微分方程式，確率統計，線形代数学１・２，微分積分学１・２，応用数理概論１・２</t>
    <phoneticPr fontId="3"/>
  </si>
  <si>
    <t>基礎線形代数１</t>
    <phoneticPr fontId="3"/>
  </si>
  <si>
    <t>基礎線形代数２</t>
    <rPh sb="0" eb="2">
      <t>キソ</t>
    </rPh>
    <rPh sb="2" eb="4">
      <t>センケイ</t>
    </rPh>
    <rPh sb="4" eb="6">
      <t>ダイスウ</t>
    </rPh>
    <phoneticPr fontId="3"/>
  </si>
  <si>
    <t>基礎微分積分１</t>
    <rPh sb="0" eb="2">
      <t>キソ</t>
    </rPh>
    <rPh sb="2" eb="4">
      <t>ビブン</t>
    </rPh>
    <rPh sb="4" eb="6">
      <t>セキブン</t>
    </rPh>
    <phoneticPr fontId="3"/>
  </si>
  <si>
    <t>基礎微分積分２</t>
    <rPh sb="0" eb="2">
      <t>キソ</t>
    </rPh>
    <rPh sb="2" eb="4">
      <t>ビブン</t>
    </rPh>
    <rPh sb="4" eb="6">
      <t>セキブン</t>
    </rPh>
    <phoneticPr fontId="3"/>
  </si>
  <si>
    <t>微分方程式</t>
    <rPh sb="0" eb="2">
      <t>ビブン</t>
    </rPh>
    <rPh sb="2" eb="5">
      <t>ホウテイシキ</t>
    </rPh>
    <phoneticPr fontId="3"/>
  </si>
  <si>
    <t>確率・統計</t>
    <rPh sb="0" eb="2">
      <t>カクリツ</t>
    </rPh>
    <rPh sb="3" eb="5">
      <t>トウケイ</t>
    </rPh>
    <phoneticPr fontId="3"/>
  </si>
  <si>
    <t>線形代数学１</t>
    <rPh sb="0" eb="2">
      <t>センケイ</t>
    </rPh>
    <rPh sb="2" eb="5">
      <t>ダイスウガク</t>
    </rPh>
    <phoneticPr fontId="3"/>
  </si>
  <si>
    <t>線形代数学２</t>
    <rPh sb="0" eb="2">
      <t>センケイ</t>
    </rPh>
    <rPh sb="2" eb="4">
      <t>ダイスウ</t>
    </rPh>
    <rPh sb="4" eb="5">
      <t>ガク</t>
    </rPh>
    <phoneticPr fontId="3"/>
  </si>
  <si>
    <t>微分積分学１</t>
    <rPh sb="0" eb="2">
      <t>ビブン</t>
    </rPh>
    <rPh sb="2" eb="4">
      <t>セキブン</t>
    </rPh>
    <rPh sb="4" eb="5">
      <t>ガク</t>
    </rPh>
    <phoneticPr fontId="3"/>
  </si>
  <si>
    <t>微分積分学２</t>
    <rPh sb="0" eb="2">
      <t>ビブン</t>
    </rPh>
    <rPh sb="2" eb="4">
      <t>セキブン</t>
    </rPh>
    <rPh sb="4" eb="5">
      <t>ガク</t>
    </rPh>
    <phoneticPr fontId="3"/>
  </si>
  <si>
    <t>応用数理概論１</t>
    <rPh sb="0" eb="2">
      <t>オウヨウ</t>
    </rPh>
    <rPh sb="2" eb="4">
      <t>スウリ</t>
    </rPh>
    <rPh sb="4" eb="6">
      <t>ガイロン</t>
    </rPh>
    <phoneticPr fontId="3"/>
  </si>
  <si>
    <t>応用数理概論２</t>
    <rPh sb="0" eb="2">
      <t>オウヨウ</t>
    </rPh>
    <rPh sb="2" eb="4">
      <t>スウリ</t>
    </rPh>
    <rPh sb="4" eb="6">
      <t>ガイロン</t>
    </rPh>
    <phoneticPr fontId="3"/>
  </si>
  <si>
    <t>基礎力学１・２，基礎物理学実験１・２，基礎電磁気学，振動波動論，熱力学</t>
    <phoneticPr fontId="3"/>
  </si>
  <si>
    <t>基礎力学２</t>
    <rPh sb="0" eb="2">
      <t>キソ</t>
    </rPh>
    <rPh sb="2" eb="4">
      <t>リキガク</t>
    </rPh>
    <phoneticPr fontId="3"/>
  </si>
  <si>
    <t>基礎電気回路２</t>
    <phoneticPr fontId="3"/>
  </si>
  <si>
    <t>基礎電気回路１</t>
    <phoneticPr fontId="3"/>
  </si>
  <si>
    <t>情報処理実習１</t>
    <phoneticPr fontId="3"/>
  </si>
  <si>
    <t>コンピュータ機械工学</t>
    <phoneticPr fontId="3"/>
  </si>
  <si>
    <t>情報処理実習２</t>
    <phoneticPr fontId="3"/>
  </si>
  <si>
    <t>基礎力学１</t>
    <phoneticPr fontId="3"/>
  </si>
  <si>
    <t>基礎物理学実験１</t>
    <phoneticPr fontId="3"/>
  </si>
  <si>
    <t>基礎物理学実験２</t>
    <phoneticPr fontId="3"/>
  </si>
  <si>
    <t>基礎電磁気学</t>
    <phoneticPr fontId="3"/>
  </si>
  <si>
    <t>振動波動論</t>
    <phoneticPr fontId="3"/>
  </si>
  <si>
    <t>基礎化学１</t>
    <phoneticPr fontId="3"/>
  </si>
  <si>
    <t>基礎化学２</t>
    <phoneticPr fontId="3"/>
  </si>
  <si>
    <t>基礎化学実験１</t>
    <phoneticPr fontId="3"/>
  </si>
  <si>
    <t>基礎化学実験２</t>
    <phoneticPr fontId="3"/>
  </si>
  <si>
    <t>情報処理１</t>
    <phoneticPr fontId="3"/>
  </si>
  <si>
    <t>情報処理２</t>
    <phoneticPr fontId="3"/>
  </si>
  <si>
    <t>熱・統計力学基礎</t>
    <phoneticPr fontId="3"/>
  </si>
  <si>
    <t>基礎機械工学１</t>
    <phoneticPr fontId="3"/>
  </si>
  <si>
    <t>創造デザイン実習</t>
    <phoneticPr fontId="3"/>
  </si>
  <si>
    <t>ゼミナール２</t>
    <phoneticPr fontId="3"/>
  </si>
  <si>
    <t>機械工学実験１</t>
    <phoneticPr fontId="3"/>
  </si>
  <si>
    <t>機械工学実験２</t>
    <phoneticPr fontId="3"/>
  </si>
  <si>
    <t>創造デザイン実習</t>
    <phoneticPr fontId="3"/>
  </si>
  <si>
    <t>ゼミナール１</t>
    <phoneticPr fontId="3"/>
  </si>
  <si>
    <t>基礎生物学１</t>
    <rPh sb="0" eb="2">
      <t>キソ</t>
    </rPh>
    <rPh sb="2" eb="5">
      <t>セイブツガク</t>
    </rPh>
    <phoneticPr fontId="3"/>
  </si>
  <si>
    <t>基礎地学１</t>
    <phoneticPr fontId="3"/>
  </si>
  <si>
    <t>宇宙科学</t>
    <phoneticPr fontId="3"/>
  </si>
  <si>
    <t>生体工学</t>
    <phoneticPr fontId="3"/>
  </si>
  <si>
    <t>生命科学</t>
    <phoneticPr fontId="3"/>
  </si>
  <si>
    <t>基礎地学２</t>
    <phoneticPr fontId="3"/>
  </si>
  <si>
    <t>基礎生物学２</t>
    <rPh sb="0" eb="2">
      <t>キソ</t>
    </rPh>
    <rPh sb="2" eb="5">
      <t>セイブツガク</t>
    </rPh>
    <phoneticPr fontId="3"/>
  </si>
  <si>
    <t>工業力学・演習</t>
    <phoneticPr fontId="3"/>
  </si>
  <si>
    <t>機械力学・演習</t>
    <phoneticPr fontId="3"/>
  </si>
  <si>
    <t>機械のダイナミクス</t>
    <phoneticPr fontId="3"/>
  </si>
  <si>
    <t>機械振動学</t>
    <phoneticPr fontId="3"/>
  </si>
  <si>
    <t>材料力学</t>
    <phoneticPr fontId="3"/>
  </si>
  <si>
    <t>材料力学演習</t>
    <phoneticPr fontId="3"/>
  </si>
  <si>
    <t>応用材料力学・演習</t>
    <phoneticPr fontId="3"/>
  </si>
  <si>
    <t>弾性力学・FEM</t>
    <phoneticPr fontId="3"/>
  </si>
  <si>
    <t>塑性力学</t>
    <phoneticPr fontId="3"/>
  </si>
  <si>
    <t>機械材料学１</t>
    <phoneticPr fontId="3"/>
  </si>
  <si>
    <t>熱力学・演習</t>
    <phoneticPr fontId="3"/>
  </si>
  <si>
    <t>工業熱力学</t>
    <phoneticPr fontId="3"/>
  </si>
  <si>
    <t>伝熱工学</t>
    <phoneticPr fontId="3"/>
  </si>
  <si>
    <t>エネルギー変換工学A</t>
    <phoneticPr fontId="3"/>
  </si>
  <si>
    <t>エネルギー変換工学B</t>
    <phoneticPr fontId="3"/>
  </si>
  <si>
    <t>流れ学・演習</t>
    <phoneticPr fontId="3"/>
  </si>
  <si>
    <t>流体力学１</t>
    <phoneticPr fontId="3"/>
  </si>
  <si>
    <t>流体機械</t>
    <phoneticPr fontId="3"/>
  </si>
  <si>
    <t>流体力学２</t>
    <phoneticPr fontId="3"/>
  </si>
  <si>
    <t>エンジンシステム</t>
    <phoneticPr fontId="3"/>
  </si>
  <si>
    <t>熱力学・演習，工業熱力学，伝熱工学，エンジンシステム，エネルギー変換工学A・B，流れ学・演習，流体力学１・２，流体機械</t>
    <phoneticPr fontId="3"/>
  </si>
  <si>
    <t>機械製図</t>
    <phoneticPr fontId="3"/>
  </si>
  <si>
    <t>機械設計製図１</t>
    <phoneticPr fontId="3"/>
  </si>
  <si>
    <t>機械要素設計</t>
    <phoneticPr fontId="3"/>
  </si>
  <si>
    <t>機械システム設計</t>
    <phoneticPr fontId="3"/>
  </si>
  <si>
    <t>機械システム設計実習</t>
    <phoneticPr fontId="3"/>
  </si>
  <si>
    <t>メカトロニクス実習</t>
    <phoneticPr fontId="3"/>
  </si>
  <si>
    <t>機械設計製図２</t>
    <phoneticPr fontId="3"/>
  </si>
  <si>
    <t>健康・スポーツ学１</t>
    <phoneticPr fontId="3"/>
  </si>
  <si>
    <t>健康・スポーツ学２</t>
    <phoneticPr fontId="3"/>
  </si>
  <si>
    <t>機械工学講座</t>
    <rPh sb="0" eb="2">
      <t>キカイ</t>
    </rPh>
    <rPh sb="2" eb="4">
      <t>コウガク</t>
    </rPh>
    <rPh sb="4" eb="6">
      <t>コウザ</t>
    </rPh>
    <phoneticPr fontId="3"/>
  </si>
  <si>
    <t>担任</t>
    <rPh sb="0" eb="2">
      <t>タンニン</t>
    </rPh>
    <phoneticPr fontId="3"/>
  </si>
  <si>
    <t>B-1</t>
    <phoneticPr fontId="3"/>
  </si>
  <si>
    <t>演習（宿題）付き科目の修得状況</t>
    <rPh sb="0" eb="2">
      <t>エンシュウ</t>
    </rPh>
    <phoneticPr fontId="3"/>
  </si>
  <si>
    <t>C-４</t>
    <phoneticPr fontId="3"/>
  </si>
  <si>
    <t>C-５</t>
    <phoneticPr fontId="3"/>
  </si>
  <si>
    <t>観点
番号</t>
    <rPh sb="0" eb="2">
      <t>カンテン</t>
    </rPh>
    <rPh sb="3" eb="5">
      <t>バンゴウ</t>
    </rPh>
    <phoneticPr fontId="3"/>
  </si>
  <si>
    <t>AP計</t>
    <rPh sb="2" eb="3">
      <t>ケイ</t>
    </rPh>
    <phoneticPr fontId="3"/>
  </si>
  <si>
    <t>判定根拠・判定目安</t>
    <rPh sb="0" eb="2">
      <t>ハンテイ</t>
    </rPh>
    <rPh sb="2" eb="4">
      <t>コンキョ</t>
    </rPh>
    <rPh sb="5" eb="7">
      <t>ハンテイ</t>
    </rPh>
    <rPh sb="7" eb="9">
      <t>メヤス</t>
    </rPh>
    <phoneticPr fontId="3"/>
  </si>
  <si>
    <t>AP＝GP×単位数，</t>
    <rPh sb="6" eb="8">
      <t>タンイ</t>
    </rPh>
    <rPh sb="8" eb="9">
      <t>スウ</t>
    </rPh>
    <phoneticPr fontId="3"/>
  </si>
  <si>
    <t>ガイダンス時に担任へ活動記録届を提出。担任が活動内容に応じてS～Hの評価を行う。</t>
    <rPh sb="5" eb="6">
      <t>ジ</t>
    </rPh>
    <rPh sb="7" eb="9">
      <t>タンニン</t>
    </rPh>
    <rPh sb="10" eb="12">
      <t>カツドウ</t>
    </rPh>
    <rPh sb="12" eb="14">
      <t>キロク</t>
    </rPh>
    <rPh sb="14" eb="15">
      <t>トドケ</t>
    </rPh>
    <rPh sb="16" eb="18">
      <t>テイシュツ</t>
    </rPh>
    <rPh sb="19" eb="21">
      <t>タンニン</t>
    </rPh>
    <rPh sb="22" eb="24">
      <t>カツドウ</t>
    </rPh>
    <rPh sb="24" eb="26">
      <t>ナイヨウ</t>
    </rPh>
    <rPh sb="27" eb="28">
      <t>オウ</t>
    </rPh>
    <rPh sb="34" eb="36">
      <t>ヒョウカ</t>
    </rPh>
    <rPh sb="37" eb="38">
      <t>オコナ</t>
    </rPh>
    <phoneticPr fontId="3"/>
  </si>
  <si>
    <t>安全学概論，機械工学講座，ジョブインターンシップ，共通総合講座（キャリア支援講座）</t>
    <rPh sb="0" eb="2">
      <t>アンゼン</t>
    </rPh>
    <rPh sb="2" eb="3">
      <t>ガク</t>
    </rPh>
    <rPh sb="3" eb="5">
      <t>ガイロン</t>
    </rPh>
    <rPh sb="25" eb="27">
      <t>キョウツウ</t>
    </rPh>
    <rPh sb="27" eb="29">
      <t>ソウゴウ</t>
    </rPh>
    <rPh sb="29" eb="31">
      <t>コウザ</t>
    </rPh>
    <rPh sb="36" eb="38">
      <t>シエン</t>
    </rPh>
    <rPh sb="38" eb="40">
      <t>コウザ</t>
    </rPh>
    <phoneticPr fontId="3"/>
  </si>
  <si>
    <t>基礎化学１・２
基礎化学実験１・２</t>
    <phoneticPr fontId="3"/>
  </si>
  <si>
    <t>必修</t>
    <rPh sb="0" eb="2">
      <t>ヒッシュウ</t>
    </rPh>
    <phoneticPr fontId="3"/>
  </si>
  <si>
    <t>外国語１・８単位
外国語２・６単位</t>
    <rPh sb="0" eb="3">
      <t>ガイコクゴ</t>
    </rPh>
    <rPh sb="6" eb="8">
      <t>タンイ</t>
    </rPh>
    <rPh sb="9" eb="12">
      <t>ガイコクゴ</t>
    </rPh>
    <rPh sb="15" eb="17">
      <t>タンイ</t>
    </rPh>
    <phoneticPr fontId="3"/>
  </si>
  <si>
    <t>複合領域科目3単位以上</t>
    <rPh sb="0" eb="2">
      <t>フクゴウ</t>
    </rPh>
    <rPh sb="2" eb="4">
      <t>リョウイキ</t>
    </rPh>
    <rPh sb="4" eb="6">
      <t>カモク</t>
    </rPh>
    <rPh sb="7" eb="9">
      <t>タンイ</t>
    </rPh>
    <rPh sb="9" eb="11">
      <t>イジョウ</t>
    </rPh>
    <phoneticPr fontId="3"/>
  </si>
  <si>
    <t>多様な活動
（留学，ボランティア，一般）</t>
    <rPh sb="17" eb="19">
      <t>イッパン</t>
    </rPh>
    <phoneticPr fontId="3"/>
  </si>
  <si>
    <t>必修最低AP</t>
    <rPh sb="0" eb="2">
      <t>ヒッシュウ</t>
    </rPh>
    <rPh sb="2" eb="4">
      <t>サイテイ</t>
    </rPh>
    <phoneticPr fontId="3"/>
  </si>
  <si>
    <t>単位修得率＝（前年度末修得単位数）／（標準修得単位数）
標準修得単位数＝卒業単位数（136）×前年度学年(n)／４＝34×n</t>
    <rPh sb="2" eb="4">
      <t>シュウトク</t>
    </rPh>
    <rPh sb="4" eb="5">
      <t>リツ</t>
    </rPh>
    <rPh sb="19" eb="21">
      <t>ヒョウジュン</t>
    </rPh>
    <rPh sb="21" eb="23">
      <t>シュウトク</t>
    </rPh>
    <rPh sb="23" eb="26">
      <t>タンイスウ</t>
    </rPh>
    <rPh sb="28" eb="30">
      <t>ヒョウジュン</t>
    </rPh>
    <rPh sb="30" eb="32">
      <t>シュウトク</t>
    </rPh>
    <rPh sb="32" eb="35">
      <t>タンイスウ</t>
    </rPh>
    <phoneticPr fontId="3"/>
  </si>
  <si>
    <t>修得単位率により，継続的な学習習慣を判定</t>
    <rPh sb="0" eb="2">
      <t>シュウトク</t>
    </rPh>
    <rPh sb="2" eb="4">
      <t>タンイ</t>
    </rPh>
    <rPh sb="4" eb="5">
      <t>リツ</t>
    </rPh>
    <rPh sb="9" eb="12">
      <t>ケイゾクテキ</t>
    </rPh>
    <rPh sb="13" eb="15">
      <t>ガクシュウ</t>
    </rPh>
    <rPh sb="15" eb="17">
      <t>シュウカン</t>
    </rPh>
    <rPh sb="18" eb="20">
      <t>ハンテイ</t>
    </rPh>
    <phoneticPr fontId="3"/>
  </si>
  <si>
    <t>多様な活動，
個の実践</t>
    <rPh sb="7" eb="8">
      <t>コ</t>
    </rPh>
    <rPh sb="9" eb="11">
      <t>ジッセン</t>
    </rPh>
    <phoneticPr fontId="3"/>
  </si>
  <si>
    <t>担当教員</t>
    <rPh sb="0" eb="2">
      <t>タントウ</t>
    </rPh>
    <rPh sb="2" eb="4">
      <t>キョウイン</t>
    </rPh>
    <phoneticPr fontId="3"/>
  </si>
  <si>
    <t>自己申告</t>
    <rPh sb="0" eb="2">
      <t>ジコ</t>
    </rPh>
    <rPh sb="2" eb="4">
      <t>シンコク</t>
    </rPh>
    <phoneticPr fontId="3"/>
  </si>
  <si>
    <t>完遂（卒業）</t>
    <rPh sb="0" eb="2">
      <t>カンスイ</t>
    </rPh>
    <rPh sb="3" eb="5">
      <t>ソツギョウ</t>
    </rPh>
    <phoneticPr fontId="3"/>
  </si>
  <si>
    <t>設定した課題に対して，制約条件を考慮して，解決策を立案できる</t>
    <rPh sb="0" eb="2">
      <t>セッテイ</t>
    </rPh>
    <rPh sb="4" eb="6">
      <t>カダイ</t>
    </rPh>
    <rPh sb="7" eb="8">
      <t>タイ</t>
    </rPh>
    <rPh sb="11" eb="13">
      <t>セイヤク</t>
    </rPh>
    <rPh sb="13" eb="15">
      <t>ジョウケン</t>
    </rPh>
    <rPh sb="16" eb="18">
      <t>コウリョ</t>
    </rPh>
    <rPh sb="21" eb="23">
      <t>カイケツ</t>
    </rPh>
    <rPh sb="23" eb="24">
      <t>サク</t>
    </rPh>
    <rPh sb="25" eb="27">
      <t>リツアン</t>
    </rPh>
    <phoneticPr fontId="3"/>
  </si>
  <si>
    <t>卒業研究を論文にまとめられる。</t>
    <phoneticPr fontId="3"/>
  </si>
  <si>
    <t>卒業論文を期限内に提出</t>
    <phoneticPr fontId="3"/>
  </si>
  <si>
    <t>S： 卒業論文を完成し，期限内に提出した
F： 卒業論文が提出されていない</t>
    <phoneticPr fontId="3"/>
  </si>
  <si>
    <t>卒業研究２の合格条件，”期限内に卒業論文を提出すること”　を満足</t>
    <rPh sb="0" eb="2">
      <t>ソツギョウ</t>
    </rPh>
    <rPh sb="2" eb="4">
      <t>ケンキュウ</t>
    </rPh>
    <rPh sb="6" eb="8">
      <t>ゴウカク</t>
    </rPh>
    <rPh sb="8" eb="10">
      <t>ジョウケン</t>
    </rPh>
    <rPh sb="12" eb="15">
      <t>キゲンナイ</t>
    </rPh>
    <rPh sb="16" eb="18">
      <t>ソツギョウ</t>
    </rPh>
    <rPh sb="18" eb="20">
      <t>ロンブン</t>
    </rPh>
    <rPh sb="21" eb="23">
      <t>テイシュツ</t>
    </rPh>
    <rPh sb="30" eb="32">
      <t>マンゾク</t>
    </rPh>
    <phoneticPr fontId="3"/>
  </si>
  <si>
    <t>プロジェクト実習
ジョブインターンシップ</t>
    <phoneticPr fontId="3"/>
  </si>
  <si>
    <t>指導教員</t>
    <rPh sb="0" eb="2">
      <t>シドウ</t>
    </rPh>
    <rPh sb="2" eb="4">
      <t>キョウイン</t>
    </rPh>
    <phoneticPr fontId="3"/>
  </si>
  <si>
    <r>
      <rPr>
        <sz val="10"/>
        <color theme="1"/>
        <rFont val="ＭＳ 明朝"/>
        <family val="1"/>
        <charset val="128"/>
      </rPr>
      <t>役割分担しながら，グループで一つの実験を実施し，その重要性を理解している</t>
    </r>
    <rPh sb="20" eb="22">
      <t>ジッシ</t>
    </rPh>
    <rPh sb="26" eb="29">
      <t>ジュウヨウセイ</t>
    </rPh>
    <rPh sb="30" eb="32">
      <t>リカイ</t>
    </rPh>
    <phoneticPr fontId="1"/>
  </si>
  <si>
    <t>卒研審査</t>
    <rPh sb="0" eb="2">
      <t>ソツケン</t>
    </rPh>
    <rPh sb="2" eb="4">
      <t>シンサ</t>
    </rPh>
    <phoneticPr fontId="3"/>
  </si>
  <si>
    <t>ゼミナール２合格条件</t>
    <rPh sb="6" eb="8">
      <t>ゴウカク</t>
    </rPh>
    <rPh sb="8" eb="10">
      <t>ジョウケン</t>
    </rPh>
    <phoneticPr fontId="3"/>
  </si>
  <si>
    <t>１．文献内容をまとめて報告できる。
２．文献内容の理解を深める議論ができる。２つを満足できることが合格条件</t>
    <rPh sb="2" eb="4">
      <t>ブンケン</t>
    </rPh>
    <rPh sb="4" eb="6">
      <t>ナイヨウ</t>
    </rPh>
    <rPh sb="11" eb="13">
      <t>ホウコク</t>
    </rPh>
    <rPh sb="20" eb="22">
      <t>ブンケン</t>
    </rPh>
    <rPh sb="22" eb="24">
      <t>ナイヨウ</t>
    </rPh>
    <rPh sb="25" eb="27">
      <t>リカイ</t>
    </rPh>
    <rPh sb="28" eb="29">
      <t>フカ</t>
    </rPh>
    <rPh sb="31" eb="33">
      <t>ギロン</t>
    </rPh>
    <rPh sb="41" eb="43">
      <t>マンゾク</t>
    </rPh>
    <rPh sb="49" eb="51">
      <t>ゴウカク</t>
    </rPh>
    <rPh sb="51" eb="53">
      <t>ジョウケン</t>
    </rPh>
    <phoneticPr fontId="3"/>
  </si>
  <si>
    <t>成績</t>
    <rPh sb="0" eb="2">
      <t>セイセキ</t>
    </rPh>
    <phoneticPr fontId="3"/>
  </si>
  <si>
    <t>卒業研究２</t>
    <rPh sb="0" eb="2">
      <t>ソツギョウ</t>
    </rPh>
    <rPh sb="2" eb="4">
      <t>ケンキュウ</t>
    </rPh>
    <phoneticPr fontId="3"/>
  </si>
  <si>
    <t>B-2-2</t>
    <phoneticPr fontId="3"/>
  </si>
  <si>
    <t>B-2-3</t>
    <phoneticPr fontId="3"/>
  </si>
  <si>
    <t>B-2-4ｂ</t>
    <phoneticPr fontId="3"/>
  </si>
  <si>
    <t>任意</t>
    <rPh sb="0" eb="2">
      <t>ニンイ</t>
    </rPh>
    <phoneticPr fontId="3"/>
  </si>
  <si>
    <t>B-2-4a</t>
    <phoneticPr fontId="3"/>
  </si>
  <si>
    <t>卒研・研究室活動等で指導教員により判定</t>
    <rPh sb="0" eb="2">
      <t>ソツケン</t>
    </rPh>
    <rPh sb="3" eb="6">
      <t>ケンキュウシツ</t>
    </rPh>
    <rPh sb="6" eb="8">
      <t>カツドウ</t>
    </rPh>
    <rPh sb="8" eb="9">
      <t>トウ</t>
    </rPh>
    <rPh sb="10" eb="12">
      <t>シドウ</t>
    </rPh>
    <rPh sb="12" eb="14">
      <t>キョウイン</t>
    </rPh>
    <rPh sb="17" eb="19">
      <t>ハンテイ</t>
    </rPh>
    <phoneticPr fontId="1"/>
  </si>
  <si>
    <t>基礎機械工学２：「課題の発見」に関するレポート，プレゼン</t>
    <rPh sb="0" eb="2">
      <t>キソ</t>
    </rPh>
    <rPh sb="2" eb="4">
      <t>キカイ</t>
    </rPh>
    <rPh sb="4" eb="6">
      <t>コウガク</t>
    </rPh>
    <rPh sb="9" eb="11">
      <t>カダイ</t>
    </rPh>
    <rPh sb="12" eb="14">
      <t>ハッケン</t>
    </rPh>
    <rPh sb="16" eb="17">
      <t>カン</t>
    </rPh>
    <phoneticPr fontId="1"/>
  </si>
  <si>
    <t>達成ポイント（AP)=</t>
    <rPh sb="0" eb="2">
      <t>タッセイ</t>
    </rPh>
    <phoneticPr fontId="3"/>
  </si>
  <si>
    <t>多面性・総合性</t>
    <phoneticPr fontId="3"/>
  </si>
  <si>
    <t>シメイ</t>
    <phoneticPr fontId="3"/>
  </si>
  <si>
    <t>メイジ　シコン</t>
    <phoneticPr fontId="3"/>
  </si>
  <si>
    <t>平均自己学習時間 
（時間／1日）</t>
    <rPh sb="0" eb="2">
      <t>ヘイキン</t>
    </rPh>
    <rPh sb="2" eb="4">
      <t>ジコ</t>
    </rPh>
    <rPh sb="4" eb="6">
      <t>ガクシュウ</t>
    </rPh>
    <rPh sb="6" eb="8">
      <t>ジカン</t>
    </rPh>
    <rPh sb="11" eb="13">
      <t>ジカン</t>
    </rPh>
    <rPh sb="15" eb="16">
      <t>ニチ</t>
    </rPh>
    <phoneticPr fontId="3"/>
  </si>
  <si>
    <t>点検日</t>
    <rPh sb="0" eb="2">
      <t>テンケン</t>
    </rPh>
    <rPh sb="2" eb="3">
      <t>ビ</t>
    </rPh>
    <phoneticPr fontId="3"/>
  </si>
  <si>
    <t>点検日（西暦年.月.日）</t>
    <rPh sb="0" eb="2">
      <t>テンケン</t>
    </rPh>
    <rPh sb="2" eb="3">
      <t>ビ</t>
    </rPh>
    <rPh sb="4" eb="6">
      <t>セイレキ</t>
    </rPh>
    <rPh sb="6" eb="7">
      <t>ネン</t>
    </rPh>
    <rPh sb="8" eb="9">
      <t>ツキ</t>
    </rPh>
    <rPh sb="10" eb="11">
      <t>ヒ</t>
    </rPh>
    <phoneticPr fontId="3"/>
  </si>
  <si>
    <t>往復通学時間
（時間）</t>
    <rPh sb="0" eb="2">
      <t>オウフク</t>
    </rPh>
    <rPh sb="2" eb="4">
      <t>ツウガク</t>
    </rPh>
    <rPh sb="4" eb="6">
      <t>ジカン</t>
    </rPh>
    <rPh sb="8" eb="10">
      <t>ジカン</t>
    </rPh>
    <phoneticPr fontId="3"/>
  </si>
  <si>
    <t>平均アルバイト時間
（時間／１日）</t>
    <rPh sb="0" eb="2">
      <t>ヘイキン</t>
    </rPh>
    <rPh sb="7" eb="9">
      <t>ジカン</t>
    </rPh>
    <rPh sb="11" eb="13">
      <t>ジカン</t>
    </rPh>
    <rPh sb="15" eb="16">
      <t>ニチ</t>
    </rPh>
    <phoneticPr fontId="3"/>
  </si>
  <si>
    <t>以上</t>
    <rPh sb="0" eb="2">
      <t>イジョウ</t>
    </rPh>
    <phoneticPr fontId="3"/>
  </si>
  <si>
    <t>0.0～0.3</t>
  </si>
  <si>
    <t>小計</t>
    <rPh sb="0" eb="2">
      <t>ショウケイ</t>
    </rPh>
    <phoneticPr fontId="3"/>
  </si>
  <si>
    <t>必修（０単位）</t>
    <rPh sb="0" eb="2">
      <t>ヒッシュウ</t>
    </rPh>
    <rPh sb="4" eb="6">
      <t>タンイ</t>
    </rPh>
    <phoneticPr fontId="3"/>
  </si>
  <si>
    <t>卒業要件2単位以下</t>
    <rPh sb="0" eb="2">
      <t>ソツギョウ</t>
    </rPh>
    <rPh sb="2" eb="4">
      <t>ヨウケン</t>
    </rPh>
    <rPh sb="5" eb="7">
      <t>タンイ</t>
    </rPh>
    <rPh sb="7" eb="9">
      <t>イカ</t>
    </rPh>
    <phoneticPr fontId="3"/>
  </si>
  <si>
    <t>必修　0単位</t>
    <rPh sb="0" eb="2">
      <t>ヒッシュウ</t>
    </rPh>
    <rPh sb="4" eb="6">
      <t>タンイ</t>
    </rPh>
    <phoneticPr fontId="3"/>
  </si>
  <si>
    <t>国際協力人材育成科目・日本ASEAN相互理解科目・グローバル人材育成プログラム科目</t>
    <rPh sb="22" eb="24">
      <t>カモク</t>
    </rPh>
    <phoneticPr fontId="3"/>
  </si>
  <si>
    <t>３科目群から2単位以下</t>
    <rPh sb="1" eb="3">
      <t>カモク</t>
    </rPh>
    <rPh sb="3" eb="4">
      <t>グン</t>
    </rPh>
    <rPh sb="7" eb="9">
      <t>タンイ</t>
    </rPh>
    <rPh sb="9" eb="11">
      <t>イカ</t>
    </rPh>
    <phoneticPr fontId="3"/>
  </si>
  <si>
    <t>修得見込</t>
    <rPh sb="0" eb="2">
      <t>シュウトク</t>
    </rPh>
    <rPh sb="2" eb="3">
      <t>ミ</t>
    </rPh>
    <rPh sb="3" eb="4">
      <t>コミ</t>
    </rPh>
    <phoneticPr fontId="3"/>
  </si>
  <si>
    <t>見込</t>
    <rPh sb="0" eb="2">
      <t>ミコ</t>
    </rPh>
    <phoneticPr fontId="3"/>
  </si>
  <si>
    <t xml:space="preserve">国際協力人材育成科目他
</t>
    <rPh sb="10" eb="11">
      <t>ホカ</t>
    </rPh>
    <phoneticPr fontId="3"/>
  </si>
  <si>
    <t>※修得済み単位数による必修・卒業判定</t>
    <rPh sb="1" eb="3">
      <t>シュウトク</t>
    </rPh>
    <rPh sb="3" eb="4">
      <t>ズ</t>
    </rPh>
    <rPh sb="5" eb="8">
      <t>タンイスウ</t>
    </rPh>
    <rPh sb="11" eb="13">
      <t>ヒッシュウ</t>
    </rPh>
    <rPh sb="14" eb="16">
      <t>ソツギョウ</t>
    </rPh>
    <rPh sb="16" eb="18">
      <t>ハンテイ</t>
    </rPh>
    <phoneticPr fontId="3"/>
  </si>
  <si>
    <t>機械工学科　学習教育目標　達成自己点検　成績記入シート②</t>
    <rPh sb="0" eb="2">
      <t>キカイ</t>
    </rPh>
    <rPh sb="2" eb="5">
      <t>コウガクカ</t>
    </rPh>
    <rPh sb="6" eb="8">
      <t>ガクシュウ</t>
    </rPh>
    <rPh sb="8" eb="10">
      <t>キョウイク</t>
    </rPh>
    <rPh sb="10" eb="12">
      <t>モクヒョウ</t>
    </rPh>
    <rPh sb="13" eb="15">
      <t>タッセイ</t>
    </rPh>
    <rPh sb="15" eb="17">
      <t>ジコ</t>
    </rPh>
    <rPh sb="17" eb="19">
      <t>テンケン</t>
    </rPh>
    <rPh sb="20" eb="22">
      <t>セイセキ</t>
    </rPh>
    <rPh sb="22" eb="24">
      <t>キニュウ</t>
    </rPh>
    <phoneticPr fontId="3"/>
  </si>
  <si>
    <t>機械工学科　学習教育目標　達成自己点検　成績記入シート①</t>
    <rPh sb="0" eb="2">
      <t>キカイ</t>
    </rPh>
    <rPh sb="2" eb="5">
      <t>コウガクカ</t>
    </rPh>
    <rPh sb="6" eb="8">
      <t>ガクシュウ</t>
    </rPh>
    <rPh sb="8" eb="10">
      <t>キョウイク</t>
    </rPh>
    <rPh sb="10" eb="12">
      <t>モクヒョウ</t>
    </rPh>
    <rPh sb="13" eb="15">
      <t>タッセイ</t>
    </rPh>
    <rPh sb="15" eb="17">
      <t>ジコ</t>
    </rPh>
    <rPh sb="17" eb="19">
      <t>テンケン</t>
    </rPh>
    <rPh sb="20" eb="22">
      <t>セイセキ</t>
    </rPh>
    <rPh sb="22" eb="24">
      <t>キニュウ</t>
    </rPh>
    <phoneticPr fontId="3"/>
  </si>
  <si>
    <t>学習教育目標　小項目</t>
    <rPh sb="0" eb="2">
      <t>ガクシュウ</t>
    </rPh>
    <rPh sb="2" eb="4">
      <t>キョウイク</t>
    </rPh>
    <rPh sb="4" eb="6">
      <t>モクヒョウ</t>
    </rPh>
    <rPh sb="7" eb="8">
      <t>ショウ</t>
    </rPh>
    <rPh sb="8" eb="10">
      <t>コウモク</t>
    </rPh>
    <phoneticPr fontId="3"/>
  </si>
  <si>
    <t>①教養</t>
    <rPh sb="1" eb="3">
      <t>キョウヨウ</t>
    </rPh>
    <phoneticPr fontId="3"/>
  </si>
  <si>
    <t>②語学</t>
    <rPh sb="1" eb="3">
      <t>ゴガク</t>
    </rPh>
    <phoneticPr fontId="3"/>
  </si>
  <si>
    <t>①技術者倫理</t>
    <rPh sb="1" eb="4">
      <t>ギジュツシャ</t>
    </rPh>
    <rPh sb="4" eb="6">
      <t>リンリ</t>
    </rPh>
    <phoneticPr fontId="3"/>
  </si>
  <si>
    <t>①数学</t>
    <rPh sb="1" eb="3">
      <t>スウガク</t>
    </rPh>
    <phoneticPr fontId="3"/>
  </si>
  <si>
    <t>②物理</t>
    <rPh sb="1" eb="3">
      <t>ブツリ</t>
    </rPh>
    <phoneticPr fontId="3"/>
  </si>
  <si>
    <t>③化学</t>
    <rPh sb="1" eb="3">
      <t>カガク</t>
    </rPh>
    <phoneticPr fontId="3"/>
  </si>
  <si>
    <t>④電気</t>
    <rPh sb="1" eb="3">
      <t>デンキ</t>
    </rPh>
    <phoneticPr fontId="3"/>
  </si>
  <si>
    <t>⑤情報</t>
    <rPh sb="1" eb="3">
      <t>ジョウホウ</t>
    </rPh>
    <phoneticPr fontId="3"/>
  </si>
  <si>
    <t>⑥論理</t>
    <rPh sb="1" eb="3">
      <t>ロンリ</t>
    </rPh>
    <phoneticPr fontId="3"/>
  </si>
  <si>
    <t>①運動と振動</t>
    <rPh sb="1" eb="3">
      <t>ウンドウ</t>
    </rPh>
    <rPh sb="4" eb="6">
      <t>シンドウ</t>
    </rPh>
    <phoneticPr fontId="3"/>
  </si>
  <si>
    <t>②材料と構造</t>
    <rPh sb="1" eb="3">
      <t>ザイリョウ</t>
    </rPh>
    <rPh sb="4" eb="6">
      <t>コウゾウ</t>
    </rPh>
    <phoneticPr fontId="3"/>
  </si>
  <si>
    <t>④設計</t>
    <rPh sb="1" eb="3">
      <t>セッケイ</t>
    </rPh>
    <phoneticPr fontId="3"/>
  </si>
  <si>
    <t>⑤生産・管理</t>
    <rPh sb="1" eb="3">
      <t>セイサン</t>
    </rPh>
    <rPh sb="4" eb="6">
      <t>カンリ</t>
    </rPh>
    <phoneticPr fontId="3"/>
  </si>
  <si>
    <t>⑦専門基盤</t>
    <rPh sb="1" eb="3">
      <t>センモン</t>
    </rPh>
    <rPh sb="3" eb="5">
      <t>キバン</t>
    </rPh>
    <phoneticPr fontId="3"/>
  </si>
  <si>
    <t>①学習習慣</t>
    <rPh sb="1" eb="3">
      <t>ガクシュウ</t>
    </rPh>
    <rPh sb="3" eb="5">
      <t>シュウカン</t>
    </rPh>
    <phoneticPr fontId="3"/>
  </si>
  <si>
    <t>①複合的課題</t>
    <rPh sb="1" eb="4">
      <t>フクゴウテキ</t>
    </rPh>
    <rPh sb="4" eb="6">
      <t>カダイ</t>
    </rPh>
    <phoneticPr fontId="3"/>
  </si>
  <si>
    <t>②課題設定</t>
    <rPh sb="1" eb="3">
      <t>カダイ</t>
    </rPh>
    <rPh sb="3" eb="5">
      <t>セッテイ</t>
    </rPh>
    <phoneticPr fontId="3"/>
  </si>
  <si>
    <t>③解決策の立案</t>
    <rPh sb="1" eb="4">
      <t>カイケツサク</t>
    </rPh>
    <rPh sb="5" eb="7">
      <t>リツアン</t>
    </rPh>
    <phoneticPr fontId="3"/>
  </si>
  <si>
    <t>①計画立案</t>
    <rPh sb="1" eb="3">
      <t>ケイカク</t>
    </rPh>
    <rPh sb="3" eb="5">
      <t>リツアン</t>
    </rPh>
    <phoneticPr fontId="3"/>
  </si>
  <si>
    <t>②期限</t>
    <rPh sb="1" eb="3">
      <t>キゲン</t>
    </rPh>
    <phoneticPr fontId="3"/>
  </si>
  <si>
    <t>②要約</t>
    <rPh sb="1" eb="3">
      <t>ヨウヤク</t>
    </rPh>
    <phoneticPr fontId="3"/>
  </si>
  <si>
    <t>③ｴﾈﾙｷﾞｰと流れ</t>
    <rPh sb="8" eb="9">
      <t>ナガ</t>
    </rPh>
    <phoneticPr fontId="3"/>
  </si>
  <si>
    <t>⑥機械とｼｽﾃﾑ</t>
    <rPh sb="1" eb="3">
      <t>キカイ</t>
    </rPh>
    <phoneticPr fontId="3"/>
  </si>
  <si>
    <t>①協同作業</t>
    <rPh sb="1" eb="3">
      <t>キョウドウ</t>
    </rPh>
    <rPh sb="3" eb="5">
      <t>サギョウ</t>
    </rPh>
    <phoneticPr fontId="3"/>
  </si>
  <si>
    <t>③多面性,総合性</t>
    <rPh sb="1" eb="4">
      <t>タメンセイ</t>
    </rPh>
    <rPh sb="5" eb="8">
      <t>ソウゴウセイ</t>
    </rPh>
    <phoneticPr fontId="3"/>
  </si>
  <si>
    <t>判定</t>
    <rPh sb="0" eb="2">
      <t>ハンテイ</t>
    </rPh>
    <phoneticPr fontId="3"/>
  </si>
  <si>
    <t>評価</t>
    <rPh sb="0" eb="2">
      <t>ヒョウカ</t>
    </rPh>
    <phoneticPr fontId="3"/>
  </si>
  <si>
    <t>④多様な活動</t>
    <rPh sb="1" eb="3">
      <t>タヨウ</t>
    </rPh>
    <rPh sb="4" eb="6">
      <t>カツドウ</t>
    </rPh>
    <phoneticPr fontId="3"/>
  </si>
  <si>
    <t>②技術者の役割と責任</t>
    <phoneticPr fontId="3"/>
  </si>
  <si>
    <t>機械工学科　学習教育目標　達成点検シート</t>
    <rPh sb="0" eb="2">
      <t>キカイ</t>
    </rPh>
    <rPh sb="2" eb="5">
      <t>コウガクカ</t>
    </rPh>
    <rPh sb="6" eb="8">
      <t>ガクシュウ</t>
    </rPh>
    <rPh sb="8" eb="10">
      <t>キョウイク</t>
    </rPh>
    <rPh sb="10" eb="12">
      <t>モクヒョウ</t>
    </rPh>
    <rPh sb="13" eb="15">
      <t>タッセイ</t>
    </rPh>
    <rPh sb="15" eb="17">
      <t>テンケン</t>
    </rPh>
    <phoneticPr fontId="3"/>
  </si>
  <si>
    <t>⑦生物・地学</t>
    <rPh sb="1" eb="3">
      <t>セイブツ</t>
    </rPh>
    <rPh sb="4" eb="6">
      <t>チガク</t>
    </rPh>
    <phoneticPr fontId="3"/>
  </si>
  <si>
    <t>③自己学習B</t>
    <rPh sb="1" eb="3">
      <t>ジコ</t>
    </rPh>
    <rPh sb="3" eb="5">
      <t>ガクシュウ</t>
    </rPh>
    <phoneticPr fontId="3"/>
  </si>
  <si>
    <t>②自己学習A</t>
    <rPh sb="1" eb="3">
      <t>ジコ</t>
    </rPh>
    <rPh sb="3" eb="5">
      <t>ガクシュウ</t>
    </rPh>
    <phoneticPr fontId="3"/>
  </si>
  <si>
    <t>④主体的選択</t>
    <rPh sb="1" eb="4">
      <t>シュタイテキ</t>
    </rPh>
    <rPh sb="4" eb="6">
      <t>センタク</t>
    </rPh>
    <phoneticPr fontId="3"/>
  </si>
  <si>
    <t>⑤完遂(卒業)</t>
    <rPh sb="1" eb="3">
      <t>カンスイ</t>
    </rPh>
    <rPh sb="4" eb="6">
      <t>ソツギョウ</t>
    </rPh>
    <phoneticPr fontId="3"/>
  </si>
  <si>
    <t>③完成(卒論)</t>
    <rPh sb="1" eb="3">
      <t>カンセイ</t>
    </rPh>
    <rPh sb="4" eb="6">
      <t>ソツロン</t>
    </rPh>
    <phoneticPr fontId="3"/>
  </si>
  <si>
    <t>③ｸﾞﾙｰﾌﾟﾜｰｸ</t>
    <phoneticPr fontId="3"/>
  </si>
  <si>
    <t>達成度
AP</t>
    <rPh sb="0" eb="2">
      <t>タッセイ</t>
    </rPh>
    <rPh sb="2" eb="3">
      <t>ド</t>
    </rPh>
    <phoneticPr fontId="3"/>
  </si>
  <si>
    <t>①プレゼン</t>
    <phoneticPr fontId="3"/>
  </si>
  <si>
    <t>C：
実践力の養成</t>
    <phoneticPr fontId="3"/>
  </si>
  <si>
    <t>A：
技術者
意識の
涵養</t>
    <rPh sb="3" eb="6">
      <t>ギジュツシャ</t>
    </rPh>
    <rPh sb="7" eb="9">
      <t>イシキ</t>
    </rPh>
    <rPh sb="11" eb="13">
      <t>カンヨウ</t>
    </rPh>
    <phoneticPr fontId="3"/>
  </si>
  <si>
    <t>B：
工学
基礎
および
専門
知識・
技術の
習得</t>
    <phoneticPr fontId="3"/>
  </si>
  <si>
    <t>学習教育目標</t>
    <phoneticPr fontId="3"/>
  </si>
  <si>
    <t>署名</t>
    <rPh sb="0" eb="2">
      <t>ショメイ</t>
    </rPh>
    <phoneticPr fontId="3"/>
  </si>
  <si>
    <t>クラス担任</t>
    <rPh sb="3" eb="5">
      <t>タンニン</t>
    </rPh>
    <phoneticPr fontId="3"/>
  </si>
  <si>
    <t>指導教員</t>
    <rPh sb="0" eb="2">
      <t>シドウ</t>
    </rPh>
    <rPh sb="2" eb="4">
      <t>キョウイン</t>
    </rPh>
    <phoneticPr fontId="3"/>
  </si>
  <si>
    <t>総合
判定</t>
    <rPh sb="0" eb="2">
      <t>ソウゴウ</t>
    </rPh>
    <rPh sb="3" eb="5">
      <t>ハンテイ</t>
    </rPh>
    <phoneticPr fontId="3"/>
  </si>
  <si>
    <t>　※教員名を記入</t>
    <rPh sb="2" eb="4">
      <t>キョウイン</t>
    </rPh>
    <rPh sb="4" eb="5">
      <t>メイ</t>
    </rPh>
    <rPh sb="6" eb="8">
      <t>キニュウ</t>
    </rPh>
    <phoneticPr fontId="3"/>
  </si>
  <si>
    <t>　※卒研生のみ記入</t>
    <rPh sb="2" eb="4">
      <t>ソツケン</t>
    </rPh>
    <rPh sb="4" eb="5">
      <t>セイ</t>
    </rPh>
    <rPh sb="7" eb="9">
      <t>キニュウ</t>
    </rPh>
    <phoneticPr fontId="3"/>
  </si>
  <si>
    <t>印刷日</t>
    <rPh sb="0" eb="2">
      <t>インサツ</t>
    </rPh>
    <rPh sb="2" eb="3">
      <t>ビ</t>
    </rPh>
    <phoneticPr fontId="3"/>
  </si>
  <si>
    <t>ID</t>
    <phoneticPr fontId="3"/>
  </si>
  <si>
    <t>②チームワーク</t>
    <phoneticPr fontId="3"/>
  </si>
  <si>
    <t>AP計</t>
    <rPh sb="2" eb="3">
      <t>ケイ</t>
    </rPh>
    <phoneticPr fontId="3"/>
  </si>
  <si>
    <t>C-5-1</t>
    <phoneticPr fontId="3"/>
  </si>
  <si>
    <t>議論</t>
  </si>
  <si>
    <t>卒業研究審査会</t>
    <rPh sb="0" eb="2">
      <t>ソツギョウ</t>
    </rPh>
    <rPh sb="2" eb="4">
      <t>ケンキュウ</t>
    </rPh>
    <rPh sb="4" eb="6">
      <t>シンサ</t>
    </rPh>
    <rPh sb="6" eb="7">
      <t>カイ</t>
    </rPh>
    <phoneticPr fontId="1"/>
  </si>
  <si>
    <t>C-5-2</t>
    <phoneticPr fontId="3"/>
  </si>
  <si>
    <t>卒業研究中間審査会</t>
    <rPh sb="0" eb="2">
      <t>ソツギョウ</t>
    </rPh>
    <rPh sb="2" eb="4">
      <t>ケンキュウ</t>
    </rPh>
    <rPh sb="4" eb="6">
      <t>チュウカン</t>
    </rPh>
    <rPh sb="6" eb="8">
      <t>シンサ</t>
    </rPh>
    <rPh sb="8" eb="9">
      <t>カイ</t>
    </rPh>
    <phoneticPr fontId="1"/>
  </si>
  <si>
    <t>成績区分　S：90%以上，A：80％以上90%未満，B：70%以上80%未満，C：60%以上70%未満，F：60%未満</t>
    <rPh sb="0" eb="2">
      <t>セイセキ</t>
    </rPh>
    <rPh sb="2" eb="4">
      <t>クブン</t>
    </rPh>
    <rPh sb="10" eb="12">
      <t>イジョウ</t>
    </rPh>
    <rPh sb="18" eb="20">
      <t>イジョウ</t>
    </rPh>
    <rPh sb="23" eb="25">
      <t>ミマン</t>
    </rPh>
    <rPh sb="31" eb="33">
      <t>イジョウ</t>
    </rPh>
    <rPh sb="36" eb="38">
      <t>ミマン</t>
    </rPh>
    <rPh sb="44" eb="46">
      <t>イジョウ</t>
    </rPh>
    <rPh sb="49" eb="51">
      <t>ミマン</t>
    </rPh>
    <rPh sb="57" eb="59">
      <t>ミマン</t>
    </rPh>
    <phoneticPr fontId="3"/>
  </si>
  <si>
    <t>科目担当教員</t>
    <rPh sb="0" eb="2">
      <t>カモク</t>
    </rPh>
    <rPh sb="2" eb="4">
      <t>タントウ</t>
    </rPh>
    <rPh sb="4" eb="6">
      <t>キョウイン</t>
    </rPh>
    <phoneticPr fontId="3"/>
  </si>
  <si>
    <t>C-5-4</t>
    <phoneticPr fontId="3"/>
  </si>
  <si>
    <t>要約</t>
    <phoneticPr fontId="3"/>
  </si>
  <si>
    <t>議論</t>
    <rPh sb="0" eb="2">
      <t>ギロン</t>
    </rPh>
    <phoneticPr fontId="3"/>
  </si>
  <si>
    <t>C-5-3</t>
    <phoneticPr fontId="3"/>
  </si>
  <si>
    <t>読解（ゼミ）</t>
    <rPh sb="0" eb="2">
      <t>ドッカイ</t>
    </rPh>
    <phoneticPr fontId="3"/>
  </si>
  <si>
    <t>審査会での質疑応答により評価</t>
    <rPh sb="0" eb="3">
      <t>シンサカイ</t>
    </rPh>
    <rPh sb="5" eb="7">
      <t>シツギ</t>
    </rPh>
    <rPh sb="7" eb="9">
      <t>オウトウ</t>
    </rPh>
    <rPh sb="12" eb="14">
      <t>ヒョウカ</t>
    </rPh>
    <phoneticPr fontId="1"/>
  </si>
  <si>
    <t>審査会で卒論概要により評価</t>
    <rPh sb="0" eb="3">
      <t>シンサカイ</t>
    </rPh>
    <rPh sb="4" eb="6">
      <t>ソツロン</t>
    </rPh>
    <rPh sb="6" eb="8">
      <t>ガイヨウ</t>
    </rPh>
    <rPh sb="11" eb="13">
      <t>ヒョウカ</t>
    </rPh>
    <phoneticPr fontId="1"/>
  </si>
  <si>
    <t>③読解</t>
    <rPh sb="1" eb="3">
      <t>ドッカイ</t>
    </rPh>
    <phoneticPr fontId="3"/>
  </si>
  <si>
    <t>④議論</t>
    <rPh sb="1" eb="3">
      <t>ギロン</t>
    </rPh>
    <phoneticPr fontId="3"/>
  </si>
  <si>
    <t>B-1-1</t>
    <phoneticPr fontId="3"/>
  </si>
  <si>
    <t>B-1-2</t>
    <phoneticPr fontId="3"/>
  </si>
  <si>
    <t>B-1-7</t>
    <phoneticPr fontId="3"/>
  </si>
  <si>
    <t>S：質問の意図を理解し，適切な回答，議論ができている。
C：質問に応答し，議論を行う姿勢が見える。
F：質問の意図を理解できない。議論を行う姿勢がない。（回答書を作成させ，指導教員の判定）</t>
    <phoneticPr fontId="3"/>
  </si>
  <si>
    <t>学習・教育目標</t>
    <rPh sb="0" eb="2">
      <t>ガクシュウ</t>
    </rPh>
    <rPh sb="3" eb="5">
      <t>キョウイク</t>
    </rPh>
    <rPh sb="5" eb="7">
      <t>モクヒョウ</t>
    </rPh>
    <phoneticPr fontId="3"/>
  </si>
  <si>
    <t>大項目番号</t>
    <rPh sb="0" eb="1">
      <t>ダイ</t>
    </rPh>
    <rPh sb="1" eb="3">
      <t>コウモク</t>
    </rPh>
    <rPh sb="3" eb="5">
      <t>バンゴウ</t>
    </rPh>
    <phoneticPr fontId="3"/>
  </si>
  <si>
    <t>小項目番号</t>
    <rPh sb="0" eb="3">
      <t>ショウコウモク</t>
    </rPh>
    <rPh sb="3" eb="5">
      <t>バンゴウ</t>
    </rPh>
    <phoneticPr fontId="3"/>
  </si>
  <si>
    <t>名称</t>
    <rPh sb="0" eb="2">
      <t>メイショウ</t>
    </rPh>
    <phoneticPr fontId="3"/>
  </si>
  <si>
    <t>観点数</t>
    <rPh sb="0" eb="2">
      <t>カンテン</t>
    </rPh>
    <rPh sb="2" eb="3">
      <t>スウ</t>
    </rPh>
    <phoneticPr fontId="3"/>
  </si>
  <si>
    <t>技術者意識の涵養</t>
    <phoneticPr fontId="3"/>
  </si>
  <si>
    <t>教養</t>
    <phoneticPr fontId="3"/>
  </si>
  <si>
    <t>①技術者倫理
②技術者の役割と責任</t>
    <rPh sb="1" eb="4">
      <t>ギジュツシャ</t>
    </rPh>
    <rPh sb="4" eb="6">
      <t>リンリ</t>
    </rPh>
    <rPh sb="8" eb="10">
      <t>ギジュツ</t>
    </rPh>
    <rPh sb="10" eb="11">
      <t>シャ</t>
    </rPh>
    <rPh sb="12" eb="14">
      <t>ヤクワリ</t>
    </rPh>
    <rPh sb="15" eb="17">
      <t>セキニン</t>
    </rPh>
    <phoneticPr fontId="3"/>
  </si>
  <si>
    <t>工学基礎
および
専門知識・
技術の習得</t>
    <phoneticPr fontId="3"/>
  </si>
  <si>
    <t>工学基礎</t>
  </si>
  <si>
    <t>B-2</t>
    <phoneticPr fontId="3"/>
  </si>
  <si>
    <t>機械専門</t>
    <rPh sb="0" eb="2">
      <t>キカイ</t>
    </rPh>
    <phoneticPr fontId="3"/>
  </si>
  <si>
    <t>実践力の
養成</t>
    <phoneticPr fontId="3"/>
  </si>
  <si>
    <t>C-1</t>
    <phoneticPr fontId="3"/>
  </si>
  <si>
    <t>主体性</t>
    <phoneticPr fontId="3"/>
  </si>
  <si>
    <t>単位
＋
評価</t>
    <rPh sb="0" eb="2">
      <t>タンイ</t>
    </rPh>
    <rPh sb="5" eb="7">
      <t>ヒョウカ</t>
    </rPh>
    <phoneticPr fontId="3"/>
  </si>
  <si>
    <t>デザイン能力</t>
    <phoneticPr fontId="3"/>
  </si>
  <si>
    <t>マネジメント能力</t>
  </si>
  <si>
    <t>C-4</t>
    <phoneticPr fontId="3"/>
  </si>
  <si>
    <t>チームワーク能力</t>
  </si>
  <si>
    <t>C-5</t>
    <phoneticPr fontId="3"/>
  </si>
  <si>
    <t>表現・コミュニケーション能力</t>
  </si>
  <si>
    <t>(a) 地球的視点から多面的に物事を考える能力とその素養</t>
  </si>
  <si>
    <t>(b) 技術が社会や自然に及ぼす影響や効果、及び技術者が社会に対して負っている責任に関する理解</t>
    <phoneticPr fontId="3"/>
  </si>
  <si>
    <t>(c) 数学及び自然科学に関する知識とそれらを応用する能力</t>
  </si>
  <si>
    <t>(d) 当該分野において必要とされる専門的知識とそれらを応用する能力</t>
    <phoneticPr fontId="3"/>
  </si>
  <si>
    <t>(e) 種々の科学、技術及び情報を活用して社会の要求を解決するためのデザイン能力</t>
    <phoneticPr fontId="3"/>
  </si>
  <si>
    <t>(f) 論理的な記述力、口頭発表力、討議等のコミュニケーション能力</t>
    <phoneticPr fontId="3"/>
  </si>
  <si>
    <t>(g) 自主的、継続的に学習する能力</t>
    <phoneticPr fontId="3"/>
  </si>
  <si>
    <t>(h) 与えられた制約の下で計画的に仕事を進め、まとめる能力</t>
  </si>
  <si>
    <t>(i) チームで仕事をするための能力</t>
    <phoneticPr fontId="3"/>
  </si>
  <si>
    <t>2016.2.11</t>
    <phoneticPr fontId="3"/>
  </si>
  <si>
    <t>大項目</t>
    <rPh sb="0" eb="3">
      <t>ダイコウモク</t>
    </rPh>
    <phoneticPr fontId="3"/>
  </si>
  <si>
    <t>計画立案（ロードマップ）</t>
    <phoneticPr fontId="3"/>
  </si>
  <si>
    <t>機械工学実験１：課題B内，「チームワークに関するレポート」</t>
    <rPh sb="0" eb="2">
      <t>キカイ</t>
    </rPh>
    <rPh sb="2" eb="4">
      <t>コウガク</t>
    </rPh>
    <rPh sb="4" eb="6">
      <t>ジッケン</t>
    </rPh>
    <rPh sb="8" eb="10">
      <t>カダイ</t>
    </rPh>
    <rPh sb="11" eb="12">
      <t>ナイ</t>
    </rPh>
    <rPh sb="21" eb="22">
      <t>カン</t>
    </rPh>
    <phoneticPr fontId="1"/>
  </si>
  <si>
    <t>①プレゼン
②要約
③読解力
④議論</t>
    <rPh sb="11" eb="14">
      <t>ドッカイリョク</t>
    </rPh>
    <rPh sb="16" eb="18">
      <t>ギロン</t>
    </rPh>
    <phoneticPr fontId="3"/>
  </si>
  <si>
    <t>①協働作業
②チームワーク
③グループワーク</t>
    <rPh sb="1" eb="3">
      <t>キョウドウ</t>
    </rPh>
    <phoneticPr fontId="3"/>
  </si>
  <si>
    <t>①計画立案
②期限（レポート）
③完成（卒論）</t>
    <rPh sb="1" eb="3">
      <t>ケイカク</t>
    </rPh>
    <rPh sb="3" eb="5">
      <t>リツアン</t>
    </rPh>
    <rPh sb="7" eb="9">
      <t>キゲン</t>
    </rPh>
    <rPh sb="17" eb="19">
      <t>カンセイ</t>
    </rPh>
    <rPh sb="20" eb="22">
      <t>ソツロン</t>
    </rPh>
    <phoneticPr fontId="3"/>
  </si>
  <si>
    <t>①複合的課題
②課題設定
③解決策の立案</t>
    <phoneticPr fontId="3"/>
  </si>
  <si>
    <t>①数学，②物理
③化学，④電気
⑤情報，⑥論理
⑦生物・地学</t>
    <rPh sb="1" eb="3">
      <t>スウガク</t>
    </rPh>
    <rPh sb="5" eb="7">
      <t>ブツリ</t>
    </rPh>
    <rPh sb="9" eb="11">
      <t>カガク</t>
    </rPh>
    <rPh sb="13" eb="15">
      <t>デンキ</t>
    </rPh>
    <rPh sb="17" eb="19">
      <t>ジョウホウ</t>
    </rPh>
    <rPh sb="21" eb="23">
      <t>ロンリ</t>
    </rPh>
    <rPh sb="25" eb="27">
      <t>セイブツ</t>
    </rPh>
    <rPh sb="28" eb="30">
      <t>チガク</t>
    </rPh>
    <phoneticPr fontId="3"/>
  </si>
  <si>
    <t>2015カリ　学習・教育目標とその達成評価方法</t>
    <rPh sb="7" eb="9">
      <t>ガクシュウ</t>
    </rPh>
    <rPh sb="10" eb="12">
      <t>キョウイク</t>
    </rPh>
    <rPh sb="12" eb="14">
      <t>モクヒョウ</t>
    </rPh>
    <rPh sb="17" eb="19">
      <t>タッセイ</t>
    </rPh>
    <rPh sb="19" eb="21">
      <t>ヒョウカ</t>
    </rPh>
    <rPh sb="21" eb="23">
      <t>ホウホウ</t>
    </rPh>
    <phoneticPr fontId="3"/>
  </si>
  <si>
    <t>小項目</t>
    <phoneticPr fontId="3"/>
  </si>
  <si>
    <t>JABEEの基準が要求する
学習・教育到達目標</t>
    <phoneticPr fontId="3"/>
  </si>
  <si>
    <t>①学習習慣（単位修得数水準）
②自己学習A（演習付科目）
③自己学習B（学習時間）
④主体的選択
⑤完遂（卒業）</t>
    <rPh sb="6" eb="8">
      <t>タンイ</t>
    </rPh>
    <rPh sb="8" eb="10">
      <t>シュウトク</t>
    </rPh>
    <rPh sb="10" eb="11">
      <t>スウ</t>
    </rPh>
    <rPh sb="11" eb="13">
      <t>スイジュン</t>
    </rPh>
    <rPh sb="16" eb="18">
      <t>ジコ</t>
    </rPh>
    <rPh sb="18" eb="20">
      <t>ガクシュウ</t>
    </rPh>
    <rPh sb="22" eb="24">
      <t>エンシュウ</t>
    </rPh>
    <rPh sb="24" eb="25">
      <t>ツ</t>
    </rPh>
    <rPh sb="25" eb="27">
      <t>カモク</t>
    </rPh>
    <rPh sb="36" eb="38">
      <t>ガクシュウ</t>
    </rPh>
    <rPh sb="38" eb="40">
      <t>ジカン</t>
    </rPh>
    <rPh sb="50" eb="52">
      <t>カンスイ</t>
    </rPh>
    <rPh sb="53" eb="55">
      <t>ソツギョウ</t>
    </rPh>
    <phoneticPr fontId="3"/>
  </si>
  <si>
    <t>/38</t>
    <phoneticPr fontId="3"/>
  </si>
  <si>
    <t>総合文化科目
語学
活動報告</t>
    <rPh sb="0" eb="2">
      <t>ソウゴウ</t>
    </rPh>
    <rPh sb="2" eb="4">
      <t>ブンカ</t>
    </rPh>
    <rPh sb="4" eb="6">
      <t>カモク</t>
    </rPh>
    <rPh sb="7" eb="9">
      <t>ゴガク</t>
    </rPh>
    <rPh sb="10" eb="12">
      <t>カツドウ</t>
    </rPh>
    <rPh sb="12" eb="14">
      <t>ホウコク</t>
    </rPh>
    <phoneticPr fontId="3"/>
  </si>
  <si>
    <t>理系基礎科目A群
理系基礎科目B群</t>
    <rPh sb="0" eb="2">
      <t>リケイ</t>
    </rPh>
    <rPh sb="2" eb="4">
      <t>キソ</t>
    </rPh>
    <rPh sb="4" eb="6">
      <t>カモク</t>
    </rPh>
    <rPh sb="7" eb="8">
      <t>グン</t>
    </rPh>
    <rPh sb="9" eb="11">
      <t>リケイ</t>
    </rPh>
    <rPh sb="11" eb="13">
      <t>キソ</t>
    </rPh>
    <rPh sb="13" eb="15">
      <t>カモク</t>
    </rPh>
    <rPh sb="16" eb="17">
      <t>グン</t>
    </rPh>
    <phoneticPr fontId="3"/>
  </si>
  <si>
    <t>技術者倫理，安全学概論
機械工学講座，ｼﾞｮﾌﾞｲﾝﾀｰﾝｼｯﾌﾟ
共通総合講座A・Bほか</t>
    <rPh sb="0" eb="3">
      <t>ギジュツシャ</t>
    </rPh>
    <rPh sb="3" eb="5">
      <t>リンリ</t>
    </rPh>
    <rPh sb="6" eb="8">
      <t>アンゼン</t>
    </rPh>
    <rPh sb="8" eb="9">
      <t>ガク</t>
    </rPh>
    <rPh sb="9" eb="11">
      <t>ガイロン</t>
    </rPh>
    <rPh sb="12" eb="14">
      <t>キカイ</t>
    </rPh>
    <rPh sb="14" eb="16">
      <t>コウガク</t>
    </rPh>
    <rPh sb="16" eb="18">
      <t>コウザ</t>
    </rPh>
    <rPh sb="34" eb="36">
      <t>キョウツウ</t>
    </rPh>
    <rPh sb="36" eb="38">
      <t>ソウゴウ</t>
    </rPh>
    <rPh sb="38" eb="40">
      <t>コウザ</t>
    </rPh>
    <phoneticPr fontId="3"/>
  </si>
  <si>
    <t>複合領域科目
卒業研究中間審査会</t>
    <rPh sb="0" eb="2">
      <t>フクゴウ</t>
    </rPh>
    <rPh sb="2" eb="4">
      <t>リョウイキ</t>
    </rPh>
    <rPh sb="4" eb="6">
      <t>カモク</t>
    </rPh>
    <rPh sb="7" eb="9">
      <t>ソツギョウ</t>
    </rPh>
    <rPh sb="9" eb="11">
      <t>ケンキュウ</t>
    </rPh>
    <rPh sb="11" eb="13">
      <t>チュウカン</t>
    </rPh>
    <rPh sb="13" eb="16">
      <t>シンサカイ</t>
    </rPh>
    <phoneticPr fontId="3"/>
  </si>
  <si>
    <t>卒業研究中間審査会
機械工学実験２
卒業論文提出</t>
    <rPh sb="0" eb="2">
      <t>ソツギョウ</t>
    </rPh>
    <rPh sb="2" eb="4">
      <t>ケンキュウ</t>
    </rPh>
    <rPh sb="4" eb="6">
      <t>チュウカン</t>
    </rPh>
    <rPh sb="6" eb="9">
      <t>シンサカイ</t>
    </rPh>
    <rPh sb="10" eb="12">
      <t>キカイ</t>
    </rPh>
    <rPh sb="12" eb="14">
      <t>コウガク</t>
    </rPh>
    <rPh sb="14" eb="16">
      <t>ジッケン</t>
    </rPh>
    <rPh sb="18" eb="20">
      <t>ソツギョウ</t>
    </rPh>
    <rPh sb="20" eb="22">
      <t>ロンブン</t>
    </rPh>
    <rPh sb="22" eb="24">
      <t>テイシュツ</t>
    </rPh>
    <phoneticPr fontId="3"/>
  </si>
  <si>
    <t>卒業研究
プロジェクト実習，ｼﾞｮﾌﾞｲﾝﾀｰﾝｼｯﾌﾟ
機械工学実験１</t>
    <rPh sb="0" eb="2">
      <t>ソツギョウ</t>
    </rPh>
    <rPh sb="2" eb="4">
      <t>ケンキュウ</t>
    </rPh>
    <rPh sb="11" eb="13">
      <t>ジッシュウ</t>
    </rPh>
    <rPh sb="29" eb="31">
      <t>キカイ</t>
    </rPh>
    <rPh sb="31" eb="33">
      <t>コウガク</t>
    </rPh>
    <rPh sb="33" eb="35">
      <t>ジッケン</t>
    </rPh>
    <phoneticPr fontId="3"/>
  </si>
  <si>
    <t>卒業研究審査会
卒業論文概要
ゼミナール２
卒業研究審査会</t>
    <rPh sb="0" eb="2">
      <t>ソツギョウ</t>
    </rPh>
    <rPh sb="2" eb="4">
      <t>ケンキュウ</t>
    </rPh>
    <rPh sb="4" eb="7">
      <t>シンサカイ</t>
    </rPh>
    <rPh sb="8" eb="10">
      <t>ソツギョウ</t>
    </rPh>
    <rPh sb="10" eb="12">
      <t>ロンブン</t>
    </rPh>
    <rPh sb="12" eb="14">
      <t>ガイヨウ</t>
    </rPh>
    <rPh sb="22" eb="24">
      <t>ソツギョウ</t>
    </rPh>
    <rPh sb="24" eb="26">
      <t>ケンキュウ</t>
    </rPh>
    <rPh sb="26" eb="29">
      <t>シンサカイ</t>
    </rPh>
    <phoneticPr fontId="3"/>
  </si>
  <si>
    <t>判定科目・機会</t>
    <rPh sb="0" eb="2">
      <t>ハンテイ</t>
    </rPh>
    <rPh sb="2" eb="4">
      <t>カモク</t>
    </rPh>
    <rPh sb="5" eb="7">
      <t>キカイ</t>
    </rPh>
    <phoneticPr fontId="3"/>
  </si>
  <si>
    <t>1‐4年</t>
    <rPh sb="3" eb="4">
      <t>ネン</t>
    </rPh>
    <phoneticPr fontId="1"/>
  </si>
  <si>
    <t>学習教育目標　評価観点</t>
    <rPh sb="0" eb="2">
      <t>ガクシュウ</t>
    </rPh>
    <rPh sb="2" eb="4">
      <t>キョウイク</t>
    </rPh>
    <rPh sb="4" eb="6">
      <t>モクヒョウ</t>
    </rPh>
    <rPh sb="7" eb="9">
      <t>ヒョウカ</t>
    </rPh>
    <rPh sb="9" eb="11">
      <t>カンテン</t>
    </rPh>
    <phoneticPr fontId="1"/>
  </si>
  <si>
    <t>成績</t>
    <rPh sb="0" eb="2">
      <t>セイセキ</t>
    </rPh>
    <phoneticPr fontId="3"/>
  </si>
  <si>
    <t>卒研に関する質問に適切に回答できる</t>
    <rPh sb="3" eb="4">
      <t>カン</t>
    </rPh>
    <rPh sb="6" eb="8">
      <t>シツモン</t>
    </rPh>
    <rPh sb="9" eb="11">
      <t>テキセツ</t>
    </rPh>
    <rPh sb="12" eb="14">
      <t>カイトウ</t>
    </rPh>
    <phoneticPr fontId="3"/>
  </si>
  <si>
    <t>科学技術文章等を読み取り，その内容に関して説明できる。</t>
    <rPh sb="15" eb="17">
      <t>ナイヨウ</t>
    </rPh>
    <rPh sb="18" eb="19">
      <t>カン</t>
    </rPh>
    <rPh sb="21" eb="23">
      <t>セツメイ</t>
    </rPh>
    <phoneticPr fontId="3"/>
  </si>
  <si>
    <t>科学技術文章の読解</t>
    <rPh sb="0" eb="2">
      <t>カガク</t>
    </rPh>
    <rPh sb="2" eb="4">
      <t>ギジュツ</t>
    </rPh>
    <rPh sb="4" eb="6">
      <t>ブンショウ</t>
    </rPh>
    <rPh sb="7" eb="9">
      <t>ドッカイ</t>
    </rPh>
    <phoneticPr fontId="3"/>
  </si>
  <si>
    <t>合格最低AP</t>
    <rPh sb="0" eb="2">
      <t>ゴウカク</t>
    </rPh>
    <rPh sb="2" eb="4">
      <t>サイテイ</t>
    </rPh>
    <phoneticPr fontId="3"/>
  </si>
  <si>
    <t>取得済み単位数</t>
    <rPh sb="0" eb="2">
      <t>シュトク</t>
    </rPh>
    <rPh sb="2" eb="3">
      <t>ズ</t>
    </rPh>
    <rPh sb="4" eb="6">
      <t>タンイ</t>
    </rPh>
    <rPh sb="6" eb="7">
      <t>スウ</t>
    </rPh>
    <phoneticPr fontId="3"/>
  </si>
  <si>
    <t>取得予定単位数</t>
    <rPh sb="0" eb="2">
      <t>シュトク</t>
    </rPh>
    <rPh sb="2" eb="4">
      <t>ヨテイ</t>
    </rPh>
    <rPh sb="4" eb="7">
      <t>タンイスウ</t>
    </rPh>
    <phoneticPr fontId="3"/>
  </si>
  <si>
    <t>C</t>
    <phoneticPr fontId="3"/>
  </si>
  <si>
    <t>卒業研究２の単位と修得単位数による卒業単位数（136単に）により評価</t>
    <rPh sb="0" eb="2">
      <t>ソツギョウ</t>
    </rPh>
    <rPh sb="2" eb="4">
      <t>ケンキュウ</t>
    </rPh>
    <rPh sb="6" eb="8">
      <t>タンイ</t>
    </rPh>
    <rPh sb="9" eb="11">
      <t>シュウトク</t>
    </rPh>
    <rPh sb="11" eb="13">
      <t>タンイ</t>
    </rPh>
    <rPh sb="13" eb="14">
      <t>スウ</t>
    </rPh>
    <rPh sb="17" eb="19">
      <t>ソツギョウ</t>
    </rPh>
    <rPh sb="19" eb="22">
      <t>タンイスウ</t>
    </rPh>
    <rPh sb="26" eb="27">
      <t>タン</t>
    </rPh>
    <phoneticPr fontId="3"/>
  </si>
  <si>
    <t>S： 卒業要件を満たしている
C： 卒業予定
F： 卒業要件を満たしていない．</t>
    <rPh sb="18" eb="20">
      <t>ソツギョウ</t>
    </rPh>
    <rPh sb="20" eb="22">
      <t>ヨテイ</t>
    </rPh>
    <phoneticPr fontId="3"/>
  </si>
  <si>
    <t>卒業研究２を修得し，卒業単位数要件を満足している</t>
    <rPh sb="0" eb="2">
      <t>ソツギョウ</t>
    </rPh>
    <rPh sb="2" eb="4">
      <t>ケンキュウ</t>
    </rPh>
    <rPh sb="6" eb="8">
      <t>シュウトク</t>
    </rPh>
    <rPh sb="10" eb="12">
      <t>ソツギョウ</t>
    </rPh>
    <rPh sb="12" eb="15">
      <t>タンイスウ</t>
    </rPh>
    <rPh sb="15" eb="17">
      <t>ヨウケン</t>
    </rPh>
    <rPh sb="18" eb="20">
      <t>マンゾク</t>
    </rPh>
    <phoneticPr fontId="3"/>
  </si>
  <si>
    <t>評価観点</t>
    <rPh sb="0" eb="2">
      <t>ヒョウカ</t>
    </rPh>
    <rPh sb="2" eb="4">
      <t>カンテン</t>
    </rPh>
    <phoneticPr fontId="3"/>
  </si>
  <si>
    <t>①運動と振動，②材料と構造
③エネルギーと流れ
④設計，⑤生産・管理
⑥機械とシステム，⑦専門基盤</t>
    <rPh sb="1" eb="3">
      <t>ウンドウ</t>
    </rPh>
    <rPh sb="4" eb="6">
      <t>シンドウ</t>
    </rPh>
    <rPh sb="8" eb="10">
      <t>ザイリョウ</t>
    </rPh>
    <rPh sb="11" eb="13">
      <t>コウゾウ</t>
    </rPh>
    <rPh sb="21" eb="22">
      <t>ナガ</t>
    </rPh>
    <rPh sb="25" eb="27">
      <t>セッケイ</t>
    </rPh>
    <rPh sb="29" eb="31">
      <t>セイサン</t>
    </rPh>
    <rPh sb="32" eb="34">
      <t>カンリ</t>
    </rPh>
    <rPh sb="36" eb="38">
      <t>キカイ</t>
    </rPh>
    <rPh sb="45" eb="47">
      <t>センモン</t>
    </rPh>
    <rPh sb="47" eb="49">
      <t>キバン</t>
    </rPh>
    <phoneticPr fontId="3"/>
  </si>
  <si>
    <t>①教養，　②語学
③多面性・総合性
④多様な活動</t>
    <rPh sb="1" eb="3">
      <t>キョウヨウ</t>
    </rPh>
    <rPh sb="6" eb="8">
      <t>ゴガク</t>
    </rPh>
    <rPh sb="10" eb="13">
      <t>タメンセイ</t>
    </rPh>
    <rPh sb="14" eb="17">
      <t>ソウゴウセイ</t>
    </rPh>
    <rPh sb="19" eb="21">
      <t>タヨウ</t>
    </rPh>
    <rPh sb="22" eb="24">
      <t>カツドウ</t>
    </rPh>
    <phoneticPr fontId="3"/>
  </si>
  <si>
    <t>総単位数／（34単位×学年）
工業力学・演習，流れ学・演習，熱力学・演習，機械力学・演習，材料力学演習，基礎機械工学２
卒業条件の充足</t>
    <rPh sb="0" eb="1">
      <t>ソウ</t>
    </rPh>
    <rPh sb="1" eb="3">
      <t>タンイ</t>
    </rPh>
    <rPh sb="3" eb="4">
      <t>スウ</t>
    </rPh>
    <rPh sb="8" eb="10">
      <t>タンイ</t>
    </rPh>
    <rPh sb="11" eb="12">
      <t>ガク</t>
    </rPh>
    <rPh sb="12" eb="13">
      <t>ネン</t>
    </rPh>
    <rPh sb="15" eb="17">
      <t>コウギョウ</t>
    </rPh>
    <rPh sb="17" eb="18">
      <t>リキ</t>
    </rPh>
    <rPh sb="18" eb="19">
      <t>ガク</t>
    </rPh>
    <rPh sb="20" eb="22">
      <t>エンシュウ</t>
    </rPh>
    <rPh sb="23" eb="24">
      <t>ナガ</t>
    </rPh>
    <rPh sb="25" eb="26">
      <t>ガク</t>
    </rPh>
    <rPh sb="27" eb="29">
      <t>エンシュウ</t>
    </rPh>
    <rPh sb="30" eb="33">
      <t>ネツリキガク</t>
    </rPh>
    <rPh sb="34" eb="36">
      <t>エンシュウ</t>
    </rPh>
    <rPh sb="37" eb="39">
      <t>キカイ</t>
    </rPh>
    <rPh sb="39" eb="41">
      <t>リキガク</t>
    </rPh>
    <rPh sb="42" eb="44">
      <t>エンシュウ</t>
    </rPh>
    <rPh sb="45" eb="47">
      <t>ザイリョウ</t>
    </rPh>
    <rPh sb="47" eb="49">
      <t>リキガク</t>
    </rPh>
    <rPh sb="49" eb="51">
      <t>エンシュウ</t>
    </rPh>
    <rPh sb="52" eb="54">
      <t>キソ</t>
    </rPh>
    <rPh sb="54" eb="56">
      <t>キカイ</t>
    </rPh>
    <rPh sb="56" eb="58">
      <t>コウガク</t>
    </rPh>
    <rPh sb="60" eb="62">
      <t>ソツギョウ</t>
    </rPh>
    <rPh sb="62" eb="64">
      <t>ジョウケン</t>
    </rPh>
    <rPh sb="65" eb="67">
      <t>ジュウソク</t>
    </rPh>
    <phoneticPr fontId="3"/>
  </si>
  <si>
    <t>卒業判定</t>
    <rPh sb="0" eb="2">
      <t>ソツギョウ</t>
    </rPh>
    <rPh sb="2" eb="4">
      <t>ハンテイ</t>
    </rPh>
    <phoneticPr fontId="18"/>
  </si>
  <si>
    <t>必修判定</t>
    <rPh sb="0" eb="2">
      <t>ヒッシュウ</t>
    </rPh>
    <rPh sb="2" eb="4">
      <t>ハンテイ</t>
    </rPh>
    <phoneticPr fontId="18"/>
  </si>
  <si>
    <t>卒業要件３単位以上</t>
    <rPh sb="0" eb="2">
      <t>ソツギョウ</t>
    </rPh>
    <rPh sb="2" eb="4">
      <t>ヨウケン</t>
    </rPh>
    <rPh sb="5" eb="7">
      <t>タンイ</t>
    </rPh>
    <rPh sb="7" eb="9">
      <t>イジョウ</t>
    </rPh>
    <phoneticPr fontId="3"/>
  </si>
  <si>
    <t>履修計画</t>
    <rPh sb="0" eb="2">
      <t>リシュウ</t>
    </rPh>
    <rPh sb="2" eb="4">
      <t>ケイカク</t>
    </rPh>
    <phoneticPr fontId="3"/>
  </si>
  <si>
    <t>153RXXXXX</t>
    <phoneticPr fontId="3"/>
  </si>
  <si>
    <t>機械　担任</t>
    <rPh sb="0" eb="2">
      <t>キカイ</t>
    </rPh>
    <rPh sb="3" eb="5">
      <t>タンニン</t>
    </rPh>
    <phoneticPr fontId="3"/>
  </si>
  <si>
    <t>機械　指導</t>
    <rPh sb="0" eb="2">
      <t>キカイ</t>
    </rPh>
    <rPh sb="3" eb="5">
      <t>シドウ</t>
    </rPh>
    <phoneticPr fontId="3"/>
  </si>
  <si>
    <t>修得済単位数</t>
    <rPh sb="0" eb="2">
      <t>シュウトク</t>
    </rPh>
    <rPh sb="2" eb="3">
      <t>ズ</t>
    </rPh>
    <rPh sb="3" eb="6">
      <t>タンイスウ</t>
    </rPh>
    <phoneticPr fontId="3"/>
  </si>
  <si>
    <t>修得済科目数</t>
    <rPh sb="0" eb="2">
      <t>シュウトク</t>
    </rPh>
    <rPh sb="2" eb="3">
      <t>ズ</t>
    </rPh>
    <rPh sb="3" eb="6">
      <t>カモクスウ</t>
    </rPh>
    <phoneticPr fontId="3"/>
  </si>
  <si>
    <t>参考①</t>
    <rPh sb="0" eb="2">
      <t>サンコウ</t>
    </rPh>
    <phoneticPr fontId="3"/>
  </si>
  <si>
    <t>参考②</t>
    <rPh sb="0" eb="2">
      <t>サンコウ</t>
    </rPh>
    <phoneticPr fontId="3"/>
  </si>
  <si>
    <t>履修上限単位数：49</t>
    <rPh sb="0" eb="2">
      <t>リシュウ</t>
    </rPh>
    <rPh sb="2" eb="4">
      <t>ジョウゲン</t>
    </rPh>
    <rPh sb="4" eb="7">
      <t>タンイスウ</t>
    </rPh>
    <phoneticPr fontId="3"/>
  </si>
  <si>
    <t>卒業研究　106単位＋条件</t>
    <rPh sb="11" eb="13">
      <t>ジョウケン</t>
    </rPh>
    <phoneticPr fontId="3"/>
  </si>
  <si>
    <t>卒業　136単位＋条件</t>
    <rPh sb="6" eb="8">
      <t>タンイ</t>
    </rPh>
    <rPh sb="9" eb="11">
      <t>ジョウケン</t>
    </rPh>
    <phoneticPr fontId="3"/>
  </si>
  <si>
    <t>1年→2年　24単位</t>
    <phoneticPr fontId="3"/>
  </si>
  <si>
    <t>2年→3年　66単位</t>
    <phoneticPr fontId="3"/>
  </si>
  <si>
    <t>必修判定見込</t>
    <rPh sb="0" eb="2">
      <t>ヒッシュウ</t>
    </rPh>
    <rPh sb="2" eb="4">
      <t>ハンテイ</t>
    </rPh>
    <rPh sb="4" eb="6">
      <t>ミコ</t>
    </rPh>
    <phoneticPr fontId="3"/>
  </si>
  <si>
    <t>卒業判定見込</t>
    <rPh sb="0" eb="2">
      <t>ソツギョウ</t>
    </rPh>
    <rPh sb="2" eb="4">
      <t>ハンテイ</t>
    </rPh>
    <rPh sb="4" eb="6">
      <t>ミコ</t>
    </rPh>
    <phoneticPr fontId="3"/>
  </si>
  <si>
    <t>修得単位見込</t>
    <rPh sb="0" eb="2">
      <t>シュウトク</t>
    </rPh>
    <rPh sb="2" eb="4">
      <t>タンイ</t>
    </rPh>
    <phoneticPr fontId="3"/>
  </si>
  <si>
    <t>※修得済み＋履修計画による必修・卒業判定見込</t>
    <rPh sb="1" eb="3">
      <t>シュウトク</t>
    </rPh>
    <rPh sb="3" eb="4">
      <t>ズ</t>
    </rPh>
    <rPh sb="6" eb="8">
      <t>リシュウ</t>
    </rPh>
    <rPh sb="8" eb="10">
      <t>ケイカク</t>
    </rPh>
    <rPh sb="13" eb="15">
      <t>ヒッシュウ</t>
    </rPh>
    <rPh sb="16" eb="18">
      <t>ソツギョウ</t>
    </rPh>
    <rPh sb="18" eb="20">
      <t>ハンテイ</t>
    </rPh>
    <rPh sb="20" eb="22">
      <t>ミコ</t>
    </rPh>
    <phoneticPr fontId="3"/>
  </si>
  <si>
    <t>卒業要件8単位以上</t>
    <rPh sb="0" eb="2">
      <t>ソツギョウ</t>
    </rPh>
    <rPh sb="2" eb="4">
      <t>ヨウケン</t>
    </rPh>
    <rPh sb="5" eb="7">
      <t>タンイ</t>
    </rPh>
    <rPh sb="7" eb="9">
      <t>イジョウ</t>
    </rPh>
    <phoneticPr fontId="3"/>
  </si>
  <si>
    <t>技術的視点のみならず，人文的・社会的教養に照らし，多面的に物事を見て総合的に考えられる素養の育成</t>
    <phoneticPr fontId="3"/>
  </si>
  <si>
    <t>科学技術を用いて問題解決や価値創造を行う技術者の備えるべき倫理を理解し，その倫理に沿って行動できること</t>
    <phoneticPr fontId="3"/>
  </si>
  <si>
    <t>数学，物理，化学，電気，情報を含む理系の基礎概念・知識と実験実習を通した実物感覚を習得し，それらを工学課題に適用できること</t>
    <phoneticPr fontId="3"/>
  </si>
  <si>
    <t>機械系４力学，機械設計をベースとした機械工学の専門知識・技術の習得し，それらを工学課題に適用できること</t>
    <phoneticPr fontId="3"/>
  </si>
  <si>
    <t>主体的な学習習慣と興味を持って取り組む積極的な態度の涵養</t>
    <phoneticPr fontId="3"/>
  </si>
  <si>
    <t>社会の要請から解くべき課題を設定し，環境への影響，制約条件等を考慮し，課題の解決策を創出できるデザイン能力の養成</t>
    <phoneticPr fontId="3"/>
  </si>
  <si>
    <t>プロジェクトを多様な制約条件の下で，改善を行いながら，計画的に実施し，まとめられるマネジメント能力の養成</t>
    <phoneticPr fontId="3"/>
  </si>
  <si>
    <t>機械工学の総合性を通じ，協働できる能力の養成</t>
    <rPh sb="0" eb="2">
      <t>キカイ</t>
    </rPh>
    <rPh sb="2" eb="4">
      <t>コウガク</t>
    </rPh>
    <rPh sb="5" eb="8">
      <t>ソウゴウセイ</t>
    </rPh>
    <rPh sb="9" eb="10">
      <t>ツウ</t>
    </rPh>
    <rPh sb="12" eb="14">
      <t>キョウドウ</t>
    </rPh>
    <rPh sb="17" eb="19">
      <t>ノウリョク</t>
    </rPh>
    <rPh sb="20" eb="22">
      <t>ヨウセイ</t>
    </rPh>
    <phoneticPr fontId="3"/>
  </si>
  <si>
    <t>論理的に読み書きし，表現できる能力，プロジェクトを遂行できるコミュニケーション能力の養成</t>
    <phoneticPr fontId="3"/>
  </si>
  <si>
    <t>A-1：教養　　技術的視点のみならず，人文的・社会的教養に照らし，多面的に物事を見て総合的に考えられる素養の育成</t>
    <phoneticPr fontId="3"/>
  </si>
  <si>
    <t>A-2：科学技術を用いて問題解決や価値創造を行う技術者の備えるべき倫理を理解し，その倫理に沿って行動できること</t>
    <phoneticPr fontId="3"/>
  </si>
  <si>
    <t>B-1：工学基礎　　数学，物理，化学，電気，情報を含む理系の基礎概念・知識と実験実習を通した実物感覚を習得し，それらを工学課題に適用できること</t>
    <phoneticPr fontId="3"/>
  </si>
  <si>
    <t>B-2：機械専門　　機械系４力学，機械設計をベースとした機械工学の専門知識・技術の習得し，それらを工学課題に適用できること</t>
    <phoneticPr fontId="3"/>
  </si>
  <si>
    <t>C-1：主体性　　主体的な学習習慣と興味を持って取り組む積極的な態度の涵養</t>
    <phoneticPr fontId="3"/>
  </si>
  <si>
    <t>C-2：デザイン能力　社会の要請から解くべき課題を設定し，環境への影響，制約条件等を考慮し，課題の解決策を創出できるデザイン能力の養成</t>
    <phoneticPr fontId="3"/>
  </si>
  <si>
    <t>C-3：マネジメント能力　　プロジェクトを多様な制約条件の下で，改善を行いながら，計画的に実施し，まとめられるマネジメント能力の養成</t>
    <phoneticPr fontId="3"/>
  </si>
  <si>
    <t>C-4：チームワーク能力　　機械工学の総合性を通じ，協働できる能力の養成</t>
    <rPh sb="14" eb="16">
      <t>キカイ</t>
    </rPh>
    <rPh sb="16" eb="18">
      <t>コウガク</t>
    </rPh>
    <rPh sb="19" eb="22">
      <t>ソウゴウセイ</t>
    </rPh>
    <rPh sb="23" eb="24">
      <t>ツウ</t>
    </rPh>
    <rPh sb="26" eb="28">
      <t>キョウドウ</t>
    </rPh>
    <rPh sb="31" eb="33">
      <t>ノウリョク</t>
    </rPh>
    <rPh sb="34" eb="36">
      <t>ヨウセイ</t>
    </rPh>
    <phoneticPr fontId="3"/>
  </si>
  <si>
    <t>C-5：表現・コミュニケーション能力　　論理的に読み書きし，表現できる能力，プロジェクトを遂行できるコミュニケーション能力の養成</t>
    <phoneticPr fontId="3"/>
  </si>
  <si>
    <t>自身の特長（自信が持てる点）</t>
    <rPh sb="0" eb="2">
      <t>ジシン</t>
    </rPh>
    <rPh sb="3" eb="5">
      <t>トクチョウ</t>
    </rPh>
    <rPh sb="6" eb="8">
      <t>ジシン</t>
    </rPh>
    <rPh sb="9" eb="10">
      <t>モ</t>
    </rPh>
    <rPh sb="12" eb="13">
      <t>テン</t>
    </rPh>
    <phoneticPr fontId="3"/>
  </si>
  <si>
    <t>達成観点数</t>
    <rPh sb="0" eb="2">
      <t>タッセイ</t>
    </rPh>
    <rPh sb="2" eb="4">
      <t>カンテン</t>
    </rPh>
    <rPh sb="4" eb="5">
      <t>スウ</t>
    </rPh>
    <phoneticPr fontId="3"/>
  </si>
  <si>
    <t>明治　紫紺</t>
    <rPh sb="3" eb="5">
      <t>シコン</t>
    </rPh>
    <phoneticPr fontId="3"/>
  </si>
  <si>
    <t>主体的選択</t>
    <phoneticPr fontId="3"/>
  </si>
  <si>
    <r>
      <t xml:space="preserve">今年度の目標
</t>
    </r>
    <r>
      <rPr>
        <sz val="9"/>
        <color theme="1"/>
        <rFont val="ＭＳ Ｐゴシック"/>
        <family val="3"/>
        <charset val="128"/>
        <scheme val="minor"/>
      </rPr>
      <t>（100字以上，300字以下）</t>
    </r>
    <rPh sb="0" eb="3">
      <t>コンネンド</t>
    </rPh>
    <rPh sb="4" eb="6">
      <t>モクヒョウ</t>
    </rPh>
    <rPh sb="11" eb="12">
      <t>ジ</t>
    </rPh>
    <rPh sb="12" eb="14">
      <t>イジョウ</t>
    </rPh>
    <rPh sb="18" eb="19">
      <t>ジ</t>
    </rPh>
    <rPh sb="19" eb="21">
      <t>イカ</t>
    </rPh>
    <phoneticPr fontId="3"/>
  </si>
  <si>
    <t>中間審査会のプレゼンで，環境への影響，制約条件等を考慮し，実現性のある工学的解決策が立案されているかを審査．</t>
    <rPh sb="0" eb="2">
      <t>チュウカン</t>
    </rPh>
    <rPh sb="2" eb="5">
      <t>シンサカイ</t>
    </rPh>
    <rPh sb="51" eb="53">
      <t>シンサ</t>
    </rPh>
    <phoneticPr fontId="3"/>
  </si>
  <si>
    <t>中間審査会のプレゼンで，背景を踏まえた課題の設定ができているかを評価．</t>
    <rPh sb="0" eb="2">
      <t>チュウカン</t>
    </rPh>
    <rPh sb="2" eb="5">
      <t>シンサカイ</t>
    </rPh>
    <rPh sb="12" eb="14">
      <t>ハイケイ</t>
    </rPh>
    <rPh sb="15" eb="16">
      <t>フ</t>
    </rPh>
    <rPh sb="19" eb="21">
      <t>カダイ</t>
    </rPh>
    <rPh sb="22" eb="24">
      <t>セッテイ</t>
    </rPh>
    <phoneticPr fontId="3"/>
  </si>
  <si>
    <t>中間審査会のプレゼンで，制約条件（時間的，人的，経費的，技術的，設備等）を考慮したプロジェクトの計画を立案しているかを審査</t>
    <rPh sb="0" eb="2">
      <t>チュウカン</t>
    </rPh>
    <rPh sb="2" eb="5">
      <t>シンサカイ</t>
    </rPh>
    <rPh sb="59" eb="61">
      <t>シンサ</t>
    </rPh>
    <phoneticPr fontId="3"/>
  </si>
  <si>
    <r>
      <t>A</t>
    </r>
    <r>
      <rPr>
        <sz val="9"/>
        <color theme="1"/>
        <rFont val="ＭＳ Ｐゴシック"/>
        <family val="3"/>
        <charset val="128"/>
        <scheme val="minor"/>
      </rPr>
      <t>：研究テーマが環境や社会へ与える影響，制約条件を考慮して，工学的解決方法を立案している．
B：研究テーマの工学的解決方法を立案している．
F：研究テーマの取組方法は，自ら考えず教員の指示のみに従っている．</t>
    </r>
    <rPh sb="30" eb="33">
      <t>コウガクテキ</t>
    </rPh>
    <rPh sb="38" eb="40">
      <t>リツアン</t>
    </rPh>
    <rPh sb="62" eb="64">
      <t>リツアン</t>
    </rPh>
    <rPh sb="84" eb="85">
      <t>ミズカ</t>
    </rPh>
    <rPh sb="86" eb="87">
      <t>カンガ</t>
    </rPh>
    <phoneticPr fontId="3"/>
  </si>
  <si>
    <t>機械工学実験２は，単位取得条件として，80%以上のレポートを期限内に提出することを課している。この条件を満たし，単位を修得することで判定する。</t>
    <rPh sb="0" eb="2">
      <t>キカイ</t>
    </rPh>
    <rPh sb="2" eb="4">
      <t>コウガク</t>
    </rPh>
    <rPh sb="4" eb="6">
      <t>ジッケン</t>
    </rPh>
    <rPh sb="9" eb="11">
      <t>タンイ</t>
    </rPh>
    <rPh sb="11" eb="13">
      <t>シュトク</t>
    </rPh>
    <rPh sb="13" eb="15">
      <t>ジョウケン</t>
    </rPh>
    <rPh sb="22" eb="24">
      <t>イジョウ</t>
    </rPh>
    <rPh sb="30" eb="33">
      <t>キゲンナイ</t>
    </rPh>
    <rPh sb="34" eb="36">
      <t>テイシュツ</t>
    </rPh>
    <rPh sb="41" eb="42">
      <t>カ</t>
    </rPh>
    <rPh sb="49" eb="51">
      <t>ジョウケン</t>
    </rPh>
    <rPh sb="52" eb="53">
      <t>ミ</t>
    </rPh>
    <rPh sb="56" eb="58">
      <t>タンイ</t>
    </rPh>
    <rPh sb="59" eb="61">
      <t>シュウトク</t>
    </rPh>
    <rPh sb="66" eb="68">
      <t>ハンテイ</t>
    </rPh>
    <phoneticPr fontId="3"/>
  </si>
  <si>
    <r>
      <t>A</t>
    </r>
    <r>
      <rPr>
        <sz val="9"/>
        <color theme="1"/>
        <rFont val="ＭＳ Ｐゴシック"/>
        <family val="3"/>
        <charset val="128"/>
        <scheme val="minor"/>
      </rPr>
      <t>： 研究室内の共同作業に参加し，貢献している．ゼミ長．他の学生の学習・研究に自主的に協力している。共同作業にはチームワークが必要なことを理解し，実践している。
B： 研究室内の共同作業に参加している．他の学生の学習・研究に協力できる。共同作業にはチームワークが必要なことを理解している。
F： 研究室内の共同作業に参加できない．他の学生に協力できない。共同作業におけるチームワークの有効性を理解していない。</t>
    </r>
    <rPh sb="3" eb="5">
      <t>ケンキュウ</t>
    </rPh>
    <rPh sb="5" eb="7">
      <t>シツナイ</t>
    </rPh>
    <rPh sb="8" eb="10">
      <t>キョウドウ</t>
    </rPh>
    <rPh sb="10" eb="12">
      <t>サギョウ</t>
    </rPh>
    <rPh sb="13" eb="15">
      <t>サンカ</t>
    </rPh>
    <rPh sb="17" eb="19">
      <t>コウケン</t>
    </rPh>
    <rPh sb="26" eb="27">
      <t>チョウ</t>
    </rPh>
    <rPh sb="28" eb="29">
      <t>タ</t>
    </rPh>
    <rPh sb="30" eb="32">
      <t>ガクセイ</t>
    </rPh>
    <rPh sb="33" eb="35">
      <t>ガクシュウ</t>
    </rPh>
    <rPh sb="36" eb="38">
      <t>ケンキュウ</t>
    </rPh>
    <rPh sb="39" eb="42">
      <t>ジシュテキ</t>
    </rPh>
    <rPh sb="43" eb="45">
      <t>キョウリョク</t>
    </rPh>
    <rPh sb="50" eb="52">
      <t>キョウドウ</t>
    </rPh>
    <rPh sb="52" eb="54">
      <t>サギョウ</t>
    </rPh>
    <rPh sb="63" eb="65">
      <t>ヒツヨウ</t>
    </rPh>
    <rPh sb="69" eb="71">
      <t>リカイ</t>
    </rPh>
    <rPh sb="73" eb="75">
      <t>ジッセン</t>
    </rPh>
    <rPh sb="84" eb="86">
      <t>ケンキュウ</t>
    </rPh>
    <rPh sb="86" eb="88">
      <t>シツナイ</t>
    </rPh>
    <rPh sb="89" eb="91">
      <t>キョウドウ</t>
    </rPh>
    <rPh sb="91" eb="93">
      <t>サギョウ</t>
    </rPh>
    <rPh sb="94" eb="96">
      <t>サンカ</t>
    </rPh>
    <rPh sb="148" eb="150">
      <t>ケンキュウ</t>
    </rPh>
    <rPh sb="150" eb="152">
      <t>シツナイ</t>
    </rPh>
    <rPh sb="153" eb="155">
      <t>キョウドウ</t>
    </rPh>
    <rPh sb="155" eb="157">
      <t>サギョウ</t>
    </rPh>
    <rPh sb="158" eb="160">
      <t>サンカ</t>
    </rPh>
    <rPh sb="165" eb="166">
      <t>タ</t>
    </rPh>
    <rPh sb="167" eb="169">
      <t>ガクセイ</t>
    </rPh>
    <rPh sb="170" eb="172">
      <t>キョウリョク</t>
    </rPh>
    <rPh sb="177" eb="179">
      <t>キョウドウ</t>
    </rPh>
    <rPh sb="179" eb="181">
      <t>サギョウ</t>
    </rPh>
    <rPh sb="192" eb="195">
      <t>ユウコウセイ</t>
    </rPh>
    <rPh sb="196" eb="198">
      <t>リカイ</t>
    </rPh>
    <phoneticPr fontId="3"/>
  </si>
  <si>
    <t>卒業研究最終審査会にて，プレゼンテーション能力を審査</t>
    <rPh sb="0" eb="2">
      <t>ソツギョウ</t>
    </rPh>
    <rPh sb="2" eb="4">
      <t>ケンキュウ</t>
    </rPh>
    <rPh sb="4" eb="6">
      <t>サイシュウ</t>
    </rPh>
    <rPh sb="6" eb="9">
      <t>シンサカイ</t>
    </rPh>
    <rPh sb="21" eb="23">
      <t>ノウリョク</t>
    </rPh>
    <rPh sb="24" eb="26">
      <t>シンサ</t>
    </rPh>
    <phoneticPr fontId="3"/>
  </si>
  <si>
    <t>機械工学実験１（課題2・3，他）</t>
    <rPh sb="14" eb="15">
      <t>ホカ</t>
    </rPh>
    <phoneticPr fontId="3"/>
  </si>
  <si>
    <t>卒業研究最終審査会にて，卒論概要の出来栄えを審査</t>
    <rPh sb="0" eb="2">
      <t>ソツギョウ</t>
    </rPh>
    <rPh sb="2" eb="4">
      <t>ケンキュウ</t>
    </rPh>
    <rPh sb="4" eb="6">
      <t>サイシュウ</t>
    </rPh>
    <rPh sb="6" eb="9">
      <t>シンサカイ</t>
    </rPh>
    <rPh sb="12" eb="14">
      <t>ソツロン</t>
    </rPh>
    <rPh sb="14" eb="16">
      <t>ガイヨウ</t>
    </rPh>
    <rPh sb="17" eb="20">
      <t>デキバ</t>
    </rPh>
    <rPh sb="22" eb="24">
      <t>シンサ</t>
    </rPh>
    <phoneticPr fontId="3"/>
  </si>
  <si>
    <t>A： 研究内容・成果が概要に論理的，正しく，かつ簡潔にまとめられている．科学技術報告用の図表が書けている。
B：研究内容・成果を概要にまとめられている．科学技術報告用の図表が概ね書けている。
F： 概要がまとめられていない．</t>
    <rPh sb="36" eb="38">
      <t>カガク</t>
    </rPh>
    <rPh sb="38" eb="40">
      <t>ギジュツ</t>
    </rPh>
    <rPh sb="40" eb="43">
      <t>ホウコクヨウ</t>
    </rPh>
    <rPh sb="44" eb="46">
      <t>ズヒョウ</t>
    </rPh>
    <rPh sb="47" eb="48">
      <t>カ</t>
    </rPh>
    <rPh sb="76" eb="78">
      <t>カガク</t>
    </rPh>
    <rPh sb="78" eb="80">
      <t>ギジュツ</t>
    </rPh>
    <rPh sb="80" eb="82">
      <t>ホウコク</t>
    </rPh>
    <rPh sb="82" eb="83">
      <t>ヨウ</t>
    </rPh>
    <rPh sb="84" eb="86">
      <t>ズヒョウ</t>
    </rPh>
    <rPh sb="87" eb="88">
      <t>オオム</t>
    </rPh>
    <rPh sb="89" eb="90">
      <t>カ</t>
    </rPh>
    <phoneticPr fontId="3"/>
  </si>
  <si>
    <t>卒業研究最終審査会の質疑により審査</t>
    <rPh sb="0" eb="2">
      <t>ソツギョウ</t>
    </rPh>
    <rPh sb="2" eb="4">
      <t>ケンキュウ</t>
    </rPh>
    <rPh sb="4" eb="6">
      <t>サイシュウ</t>
    </rPh>
    <rPh sb="6" eb="9">
      <t>シンサカイ</t>
    </rPh>
    <rPh sb="10" eb="12">
      <t>シツギ</t>
    </rPh>
    <rPh sb="15" eb="17">
      <t>シンサ</t>
    </rPh>
    <phoneticPr fontId="3"/>
  </si>
  <si>
    <t>Ver.</t>
    <phoneticPr fontId="3"/>
  </si>
  <si>
    <t>内容</t>
    <rPh sb="0" eb="2">
      <t>ナイヨウ</t>
    </rPh>
    <phoneticPr fontId="3"/>
  </si>
  <si>
    <t>修正履歴</t>
    <rPh sb="0" eb="2">
      <t>シュウセイ</t>
    </rPh>
    <rPh sb="2" eb="4">
      <t>リレキ</t>
    </rPh>
    <phoneticPr fontId="3"/>
  </si>
  <si>
    <t>成績記入欄の入力制限設定</t>
    <rPh sb="0" eb="2">
      <t>セイセキ</t>
    </rPh>
    <rPh sb="2" eb="4">
      <t>キニュウ</t>
    </rPh>
    <rPh sb="4" eb="5">
      <t>ラン</t>
    </rPh>
    <rPh sb="6" eb="8">
      <t>ニュウリョク</t>
    </rPh>
    <rPh sb="8" eb="10">
      <t>セイゲン</t>
    </rPh>
    <rPh sb="10" eb="12">
      <t>セッテイ</t>
    </rPh>
    <phoneticPr fontId="3"/>
  </si>
  <si>
    <t>混合クラス選択枝の追加</t>
    <rPh sb="0" eb="2">
      <t>コンゴウ</t>
    </rPh>
    <rPh sb="5" eb="7">
      <t>センタク</t>
    </rPh>
    <rPh sb="7" eb="8">
      <t>エダ</t>
    </rPh>
    <rPh sb="9" eb="11">
      <t>ツイカ</t>
    </rPh>
    <phoneticPr fontId="3"/>
  </si>
  <si>
    <t>T</t>
  </si>
  <si>
    <t>No.</t>
    <phoneticPr fontId="3"/>
  </si>
  <si>
    <t>C-4-1共同作業（協力）の達成を必修から任意へ変更</t>
    <rPh sb="10" eb="12">
      <t>キョウリョク</t>
    </rPh>
    <rPh sb="14" eb="16">
      <t>タッセイ</t>
    </rPh>
    <rPh sb="17" eb="19">
      <t>ヒッシュウ</t>
    </rPh>
    <rPh sb="21" eb="23">
      <t>ニンイ</t>
    </rPh>
    <rPh sb="24" eb="26">
      <t>ヘンコウ</t>
    </rPh>
    <phoneticPr fontId="3"/>
  </si>
  <si>
    <t>チームワーク
（実践）</t>
    <rPh sb="8" eb="10">
      <t>ジッセン</t>
    </rPh>
    <phoneticPr fontId="3"/>
  </si>
  <si>
    <t>共同作業
（協力）</t>
    <rPh sb="6" eb="8">
      <t>キョウリョク</t>
    </rPh>
    <phoneticPr fontId="1"/>
  </si>
  <si>
    <t>2018.4.10</t>
    <phoneticPr fontId="3"/>
  </si>
  <si>
    <t>0.5～1.0</t>
  </si>
  <si>
    <t>0.0～0.5</t>
  </si>
  <si>
    <t>学科専門卒業要件単位数の修正（79⇒77）</t>
    <rPh sb="0" eb="2">
      <t>ガッカ</t>
    </rPh>
    <rPh sb="2" eb="4">
      <t>センモン</t>
    </rPh>
    <rPh sb="4" eb="6">
      <t>ソツギョウ</t>
    </rPh>
    <rPh sb="6" eb="8">
      <t>ヨウケン</t>
    </rPh>
    <rPh sb="8" eb="11">
      <t>タンイスウ</t>
    </rPh>
    <rPh sb="12" eb="14">
      <t>シュウセイ</t>
    </rPh>
    <phoneticPr fontId="3"/>
  </si>
  <si>
    <t>卒業要件77単位以上</t>
    <rPh sb="0" eb="2">
      <t>ソツギョウ</t>
    </rPh>
    <rPh sb="2" eb="4">
      <t>ヨウケン</t>
    </rPh>
    <rPh sb="6" eb="8">
      <t>タンイ</t>
    </rPh>
    <rPh sb="8" eb="10">
      <t>イジョウ</t>
    </rPh>
    <phoneticPr fontId="3"/>
  </si>
  <si>
    <t>無</t>
    <phoneticPr fontId="3"/>
  </si>
  <si>
    <t>60以下</t>
    <rPh sb="2" eb="4">
      <t>イカ</t>
    </rPh>
    <phoneticPr fontId="3"/>
  </si>
  <si>
    <t>20以下</t>
    <rPh sb="2" eb="4">
      <t>イカ</t>
    </rPh>
    <phoneticPr fontId="3"/>
  </si>
  <si>
    <t>第2外国語に英語を選択した場合の単位数計算式の修正</t>
    <rPh sb="0" eb="1">
      <t>ダイ</t>
    </rPh>
    <rPh sb="2" eb="5">
      <t>ガイコクゴ</t>
    </rPh>
    <rPh sb="6" eb="8">
      <t>エイゴ</t>
    </rPh>
    <rPh sb="9" eb="11">
      <t>センタク</t>
    </rPh>
    <rPh sb="13" eb="15">
      <t>バアイ</t>
    </rPh>
    <rPh sb="16" eb="19">
      <t>タンイスウ</t>
    </rPh>
    <rPh sb="19" eb="21">
      <t>ケイサン</t>
    </rPh>
    <rPh sb="21" eb="22">
      <t>シキ</t>
    </rPh>
    <rPh sb="23" eb="25">
      <t>シュウセイ</t>
    </rPh>
    <phoneticPr fontId="3"/>
  </si>
  <si>
    <t>自身の興味に従い，対象を自主的に選んでいるか，プレゼン・レポートで評価
JAD留学生は，編入試験時の志願票で評価</t>
    <rPh sb="39" eb="42">
      <t>リュウガクセイ</t>
    </rPh>
    <rPh sb="44" eb="46">
      <t>ヘンニュウ</t>
    </rPh>
    <rPh sb="46" eb="48">
      <t>シケン</t>
    </rPh>
    <rPh sb="48" eb="49">
      <t>ジ</t>
    </rPh>
    <rPh sb="50" eb="52">
      <t>シガン</t>
    </rPh>
    <rPh sb="52" eb="53">
      <t>ヒョウ</t>
    </rPh>
    <rPh sb="54" eb="56">
      <t>ヒョウカ</t>
    </rPh>
    <phoneticPr fontId="3"/>
  </si>
  <si>
    <t>卒業時提出物に関する説明等の追記，JAD編入生に関するC-1-3の評価方法を追記</t>
    <rPh sb="0" eb="2">
      <t>ソツギョウ</t>
    </rPh>
    <rPh sb="2" eb="3">
      <t>ジ</t>
    </rPh>
    <rPh sb="3" eb="5">
      <t>テイシュツ</t>
    </rPh>
    <rPh sb="5" eb="6">
      <t>ブツ</t>
    </rPh>
    <rPh sb="7" eb="8">
      <t>カン</t>
    </rPh>
    <rPh sb="10" eb="12">
      <t>セツメイ</t>
    </rPh>
    <rPh sb="12" eb="13">
      <t>トウ</t>
    </rPh>
    <rPh sb="14" eb="16">
      <t>ツイキ</t>
    </rPh>
    <rPh sb="20" eb="22">
      <t>ヘンニュウ</t>
    </rPh>
    <rPh sb="22" eb="23">
      <t>セイ</t>
    </rPh>
    <rPh sb="24" eb="25">
      <t>カン</t>
    </rPh>
    <rPh sb="33" eb="35">
      <t>ヒョウカ</t>
    </rPh>
    <rPh sb="35" eb="37">
      <t>ホウホウ</t>
    </rPh>
    <rPh sb="38" eb="40">
      <t>ツイキ</t>
    </rPh>
    <phoneticPr fontId="3"/>
  </si>
  <si>
    <t>基礎機械工学２「社会の要請する課題の発見」</t>
    <phoneticPr fontId="3"/>
  </si>
  <si>
    <t>卒業研究論文審査会後の提出では，履修科目の修得は見込み（自己評価）で（S～F）を記入すること。</t>
    <rPh sb="0" eb="2">
      <t>ソツギョウ</t>
    </rPh>
    <rPh sb="2" eb="4">
      <t>ケンキュウ</t>
    </rPh>
    <rPh sb="4" eb="6">
      <t>ロンブン</t>
    </rPh>
    <rPh sb="6" eb="8">
      <t>シンサ</t>
    </rPh>
    <rPh sb="8" eb="9">
      <t>カイ</t>
    </rPh>
    <rPh sb="9" eb="10">
      <t>アト</t>
    </rPh>
    <rPh sb="11" eb="13">
      <t>テイシュツ</t>
    </rPh>
    <rPh sb="16" eb="18">
      <t>リシュウ</t>
    </rPh>
    <rPh sb="18" eb="20">
      <t>カモク</t>
    </rPh>
    <rPh sb="21" eb="23">
      <t>シュウトク</t>
    </rPh>
    <rPh sb="24" eb="26">
      <t>ミコ</t>
    </rPh>
    <rPh sb="28" eb="30">
      <t>ジコ</t>
    </rPh>
    <rPh sb="30" eb="32">
      <t>ヒョウカ</t>
    </rPh>
    <rPh sb="40" eb="42">
      <t>キニュウ</t>
    </rPh>
    <phoneticPr fontId="3"/>
  </si>
  <si>
    <t>http://www.isc.meiji.ac.jp/~mech/jabee/index.html</t>
    <phoneticPr fontId="3"/>
  </si>
  <si>
    <t>自己点検ブックの使用法
※最新バージョンを下記Web からダウンロードして使用すること。
１．”IDシート”に点検者（学生自身）の情報を記入する。
２．成績を”IN1シート”へ記入する。
３．学習教育目標 達成度 通知表 の結果を ”IN2シート”へ記入する。
４．”Checkシート”で学習教育目標の達成状況を点検・確認する。
５．”提出票”に必要事項を記入，印刷し，１～３年生は担任へ，４年生は指導教員へ提出する。必ず控えをとっておくこと。
６．卒業研究審査会後には，”最終点検票”を作成し，印刷版とファイルの両方を4年生担任へ提出すること。</t>
    <rPh sb="0" eb="2">
      <t>ジコ</t>
    </rPh>
    <rPh sb="2" eb="4">
      <t>テンケン</t>
    </rPh>
    <rPh sb="8" eb="11">
      <t>シヨウホウ</t>
    </rPh>
    <rPh sb="13" eb="15">
      <t>サイシン</t>
    </rPh>
    <rPh sb="21" eb="23">
      <t>カキ</t>
    </rPh>
    <rPh sb="37" eb="39">
      <t>シヨウ</t>
    </rPh>
    <rPh sb="60" eb="62">
      <t>ガクセイ</t>
    </rPh>
    <rPh sb="62" eb="64">
      <t>ジシン</t>
    </rPh>
    <rPh sb="97" eb="99">
      <t>ガクシュウ</t>
    </rPh>
    <rPh sb="99" eb="101">
      <t>キョウイク</t>
    </rPh>
    <rPh sb="101" eb="103">
      <t>モクヒョウ</t>
    </rPh>
    <rPh sb="104" eb="106">
      <t>タッセイ</t>
    </rPh>
    <rPh sb="106" eb="107">
      <t>ド</t>
    </rPh>
    <rPh sb="108" eb="111">
      <t>ツウチヒョウ</t>
    </rPh>
    <rPh sb="182" eb="184">
      <t>インサツ</t>
    </rPh>
    <rPh sb="210" eb="211">
      <t>カナラ</t>
    </rPh>
    <rPh sb="212" eb="213">
      <t>ヒカ</t>
    </rPh>
    <phoneticPr fontId="3"/>
  </si>
  <si>
    <t>機械工学科　学習教育目標　達成自己点検シート　（2015カリVer.1.7.b）</t>
    <rPh sb="0" eb="2">
      <t>キカイ</t>
    </rPh>
    <rPh sb="2" eb="5">
      <t>コウガクカ</t>
    </rPh>
    <rPh sb="6" eb="8">
      <t>ガクシュウ</t>
    </rPh>
    <rPh sb="8" eb="10">
      <t>キョウイク</t>
    </rPh>
    <rPh sb="10" eb="12">
      <t>モクヒョウ</t>
    </rPh>
    <rPh sb="13" eb="15">
      <t>タッセイ</t>
    </rPh>
    <rPh sb="15" eb="17">
      <t>ジコ</t>
    </rPh>
    <rPh sb="17" eb="19">
      <t>テンケン</t>
    </rPh>
    <phoneticPr fontId="3"/>
  </si>
  <si>
    <t>1.7b</t>
    <phoneticPr fontId="3"/>
  </si>
  <si>
    <t>C-5-2，C-5-4判定ルールの修正，ポイント修正</t>
    <rPh sb="11" eb="13">
      <t>ハンテイ</t>
    </rPh>
    <rPh sb="17" eb="19">
      <t>シュウセイ</t>
    </rPh>
    <rPh sb="24" eb="26">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</si>
</sst>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General&quot; 科目&quot;"/>
    <numFmt numFmtId="177" formatCode="General&quot;単位&quot;"/>
    <numFmt numFmtId="178" formatCode="0_ "/>
    <numFmt numFmtId="179" formatCode="0.0_ "/>
    <numFmt numFmtId="180" formatCode="General&quot;年度入学&quot;"/>
    <numFmt numFmtId="181" formatCode="General&quot;/38&quot;"/>
  </numFmts>
  <fonts count="38"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1"/>
      <name val="ＭＳ 明朝"/>
      <family val="1"/>
      <charset val="128"/>
    </font>
    <font>
      <sz val="6"/>
      <name val="ＭＳ 明朝"/>
      <family val="1"/>
      <charset val="128"/>
    </font>
    <font>
      <sz val="11"/>
      <color indexed="64"/>
      <name val="ＭＳ 明朝"/>
      <family val="1"/>
      <charset val="128"/>
    </font>
    <font>
      <sz val="6"/>
      <name val="ＭＳ Ｐ明朝"/>
      <family val="1"/>
      <charset val="128"/>
    </font>
    <font>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u/>
      <sz val="10"/>
      <color indexed="36"/>
      <name val="ＭＳ 明朝"/>
      <family val="1"/>
      <charset val="128"/>
    </font>
    <font>
      <sz val="12"/>
      <name val="ＭＳ ゴシック"/>
      <family val="3"/>
      <charset val="128"/>
    </font>
    <font>
      <sz val="10"/>
      <name val="Arial"/>
      <family val="2"/>
    </font>
    <font>
      <sz val="11"/>
      <color indexed="8"/>
      <name val="ＭＳ 明朝"/>
      <family val="1"/>
      <charset val="128"/>
    </font>
    <font>
      <sz val="10.5"/>
      <color theme="1"/>
      <name val="ＭＳ 明朝"/>
      <family val="1"/>
      <charset val="128"/>
    </font>
    <font>
      <sz val="9"/>
      <name val="ＭＳ 明朝"/>
      <family val="1"/>
      <charset val="128"/>
    </font>
    <font>
      <sz val="12"/>
      <color theme="1"/>
      <name val="ＭＳ Ｐゴシック"/>
      <family val="2"/>
      <charset val="128"/>
      <scheme val="minor"/>
    </font>
    <font>
      <u/>
      <sz val="12"/>
      <color theme="1"/>
      <name val="ＭＳ Ｐゴシック"/>
      <family val="2"/>
      <charset val="128"/>
      <scheme val="minor"/>
    </font>
    <font>
      <u/>
      <sz val="11"/>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Ｐゴシック"/>
      <family val="3"/>
      <charset val="128"/>
      <scheme val="minor"/>
    </font>
    <font>
      <sz val="10"/>
      <color indexed="64"/>
      <name val="ＭＳ 明朝"/>
      <family val="1"/>
      <charset val="128"/>
    </font>
    <font>
      <sz val="11"/>
      <color theme="1"/>
      <name val="ＭＳ Ｐゴシック"/>
      <family val="3"/>
      <charset val="128"/>
      <scheme val="minor"/>
    </font>
    <font>
      <sz val="10"/>
      <color theme="1"/>
      <name val="ＭＳ Ｐ明朝"/>
      <family val="1"/>
      <charset val="128"/>
    </font>
    <font>
      <sz val="10"/>
      <color theme="1"/>
      <name val="Times New Roman"/>
      <family val="1"/>
    </font>
    <font>
      <sz val="9"/>
      <color theme="1"/>
      <name val="メイリオ"/>
      <family val="3"/>
      <charset val="128"/>
    </font>
    <font>
      <sz val="9"/>
      <color theme="1"/>
      <name val="ＭＳ Ｐゴシック"/>
      <family val="3"/>
      <charset val="128"/>
    </font>
    <font>
      <sz val="16"/>
      <color theme="1"/>
      <name val="ＭＳ Ｐゴシック"/>
      <family val="2"/>
      <charset val="128"/>
      <scheme val="minor"/>
    </font>
    <font>
      <sz val="8"/>
      <color theme="1"/>
      <name val="ＭＳ Ｐゴシック"/>
      <family val="3"/>
      <charset val="128"/>
      <scheme val="minor"/>
    </font>
    <font>
      <sz val="8"/>
      <color theme="1"/>
      <name val="ＭＳ 明朝"/>
      <family val="1"/>
      <charset val="128"/>
    </font>
    <font>
      <sz val="10"/>
      <color indexed="81"/>
      <name val="ＭＳ Ｐゴシック"/>
      <family val="3"/>
      <charset val="128"/>
    </font>
    <font>
      <u/>
      <sz val="11"/>
      <color theme="10"/>
      <name val="ＭＳ Ｐゴシック"/>
      <family val="2"/>
      <charset val="128"/>
      <scheme val="minor"/>
    </font>
  </fonts>
  <fills count="15">
    <fill>
      <patternFill patternType="none"/>
    </fill>
    <fill>
      <patternFill patternType="gray125"/>
    </fill>
    <fill>
      <patternFill patternType="solid">
        <fgColor rgb="FFFFFFCC"/>
        <bgColor indexed="64"/>
      </patternFill>
    </fill>
    <fill>
      <patternFill patternType="solid">
        <fgColor rgb="FFCAF7FE"/>
        <bgColor indexed="64"/>
      </patternFill>
    </fill>
    <fill>
      <patternFill patternType="solid">
        <fgColor rgb="FFFAF0FF"/>
        <bgColor indexed="64"/>
      </patternFill>
    </fill>
    <fill>
      <patternFill patternType="solid">
        <fgColor theme="6" tint="0.79998168889431442"/>
        <bgColor indexed="64"/>
      </patternFill>
    </fill>
    <fill>
      <patternFill patternType="solid">
        <fgColor rgb="FFFFCC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lightGray">
        <fgColor rgb="FFFFCCFF"/>
        <bgColor auto="1"/>
      </patternFill>
    </fill>
    <fill>
      <patternFill patternType="solid">
        <fgColor theme="7" tint="0.7999816888943144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02">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1" xfId="0" applyFill="1" applyBorder="1">
      <alignment vertical="center"/>
    </xf>
    <xf numFmtId="0" fontId="0" fillId="0" borderId="1" xfId="0" applyBorder="1" applyAlignment="1">
      <alignment horizontal="center" vertical="center" shrinkToFit="1"/>
    </xf>
    <xf numFmtId="0" fontId="0" fillId="0" borderId="1" xfId="0" applyBorder="1">
      <alignment vertical="center"/>
    </xf>
    <xf numFmtId="0" fontId="4" fillId="0" borderId="1" xfId="0" applyFont="1" applyBorder="1" applyAlignment="1">
      <alignment horizontal="center" vertical="center"/>
    </xf>
    <xf numFmtId="176" fontId="0" fillId="3" borderId="1" xfId="0" applyNumberFormat="1" applyFill="1" applyBorder="1" applyAlignment="1">
      <alignment vertical="center" shrinkToFit="1"/>
    </xf>
    <xf numFmtId="176" fontId="0" fillId="0" borderId="0" xfId="0" applyNumberFormat="1" applyFill="1" applyBorder="1" applyAlignment="1">
      <alignment vertical="center" shrinkToFit="1"/>
    </xf>
    <xf numFmtId="0" fontId="0" fillId="0" borderId="1" xfId="0" applyNumberFormat="1" applyFill="1" applyBorder="1" applyAlignment="1">
      <alignment vertical="center" shrinkToFit="1"/>
    </xf>
    <xf numFmtId="0" fontId="0" fillId="0" borderId="0" xfId="0" applyFill="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shrinkToFit="1"/>
    </xf>
    <xf numFmtId="0" fontId="0" fillId="0" borderId="1" xfId="0" applyBorder="1" applyAlignment="1">
      <alignment vertical="center" shrinkToFit="1"/>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vertical="center" shrinkToFit="1"/>
    </xf>
    <xf numFmtId="0" fontId="6" fillId="0" borderId="1" xfId="0" applyFont="1" applyBorder="1" applyAlignment="1">
      <alignment vertical="center" shrinkToFit="1"/>
    </xf>
    <xf numFmtId="0" fontId="0" fillId="0" borderId="0" xfId="0" applyBorder="1" applyAlignment="1">
      <alignment vertical="center" shrinkToFit="1"/>
    </xf>
    <xf numFmtId="0" fontId="8" fillId="0" borderId="1" xfId="0" applyFont="1" applyBorder="1" applyAlignment="1">
      <alignment vertical="center" shrinkToFit="1"/>
    </xf>
    <xf numFmtId="0" fontId="6" fillId="0" borderId="1" xfId="0" applyFont="1" applyFill="1" applyBorder="1" applyAlignment="1">
      <alignment horizontal="left" vertical="center"/>
    </xf>
    <xf numFmtId="0" fontId="6" fillId="0" borderId="1" xfId="0" applyFont="1" applyBorder="1" applyAlignment="1">
      <alignment horizontal="left" vertical="center"/>
    </xf>
    <xf numFmtId="0" fontId="0" fillId="5" borderId="0" xfId="0" applyFill="1">
      <alignment vertical="center"/>
    </xf>
    <xf numFmtId="0" fontId="0" fillId="5" borderId="0" xfId="0" applyFill="1" applyAlignment="1">
      <alignment vertical="center" shrinkToFit="1"/>
    </xf>
    <xf numFmtId="0" fontId="0" fillId="0" borderId="0"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shrinkToFi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6" fillId="0" borderId="1" xfId="0" applyFont="1" applyFill="1" applyBorder="1" applyAlignment="1">
      <alignment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0" fillId="0" borderId="0" xfId="0" applyAlignment="1">
      <alignment vertical="center" shrinkToFit="1"/>
    </xf>
    <xf numFmtId="0" fontId="0" fillId="0" borderId="0" xfId="0" applyAlignment="1">
      <alignment horizontal="left" vertical="center"/>
    </xf>
    <xf numFmtId="0" fontId="0" fillId="0" borderId="1" xfId="0" applyBorder="1" applyAlignment="1">
      <alignment horizontal="center"/>
    </xf>
    <xf numFmtId="177" fontId="0" fillId="0" borderId="1" xfId="0" applyNumberFormat="1" applyBorder="1" applyAlignment="1">
      <alignment horizontal="right" vertical="center"/>
    </xf>
    <xf numFmtId="0" fontId="0" fillId="0" borderId="1" xfId="0" applyNumberFormat="1" applyBorder="1" applyAlignment="1">
      <alignment horizontal="center" vertical="center" shrinkToFit="1"/>
    </xf>
    <xf numFmtId="0" fontId="6" fillId="0" borderId="2" xfId="0" applyFont="1" applyBorder="1" applyAlignment="1">
      <alignment vertical="center" shrinkToFit="1"/>
    </xf>
    <xf numFmtId="0" fontId="0" fillId="0" borderId="2" xfId="0" applyBorder="1" applyAlignment="1">
      <alignment vertical="center" shrinkToFit="1"/>
    </xf>
    <xf numFmtId="177" fontId="0" fillId="2" borderId="1" xfId="0" applyNumberFormat="1" applyFill="1" applyBorder="1" applyAlignment="1">
      <alignment horizontal="center" vertical="center"/>
    </xf>
    <xf numFmtId="177" fontId="0" fillId="0" borderId="1" xfId="0" applyNumberFormat="1" applyBorder="1" applyAlignment="1">
      <alignment horizontal="right" vertical="center" shrinkToFit="1"/>
    </xf>
    <xf numFmtId="0" fontId="21" fillId="0" borderId="0" xfId="0" applyFont="1" applyAlignment="1">
      <alignment horizontal="center" vertical="center" shrinkToFit="1"/>
    </xf>
    <xf numFmtId="0" fontId="20" fillId="0" borderId="0" xfId="0" applyFont="1" applyAlignme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6" borderId="1" xfId="0" applyFont="1" applyFill="1" applyBorder="1" applyAlignment="1">
      <alignment vertical="center" shrinkToFit="1"/>
    </xf>
    <xf numFmtId="0" fontId="0" fillId="6" borderId="1" xfId="0" applyFill="1" applyBorder="1" applyAlignment="1">
      <alignment vertical="center" shrinkToFit="1"/>
    </xf>
    <xf numFmtId="0" fontId="5" fillId="0" borderId="1" xfId="0" applyFont="1" applyBorder="1" applyAlignment="1">
      <alignment horizontal="center" vertical="center" wrapText="1" shrinkToFit="1"/>
    </xf>
    <xf numFmtId="0" fontId="0" fillId="0" borderId="0" xfId="0" applyBorder="1">
      <alignment vertical="center"/>
    </xf>
    <xf numFmtId="0" fontId="0" fillId="0" borderId="0" xfId="0" applyAlignment="1">
      <alignment vertical="center" wrapText="1"/>
    </xf>
    <xf numFmtId="0" fontId="5" fillId="0" borderId="1" xfId="0" applyFont="1" applyFill="1" applyBorder="1" applyAlignment="1">
      <alignment horizontal="center" vertical="center" wrapText="1"/>
    </xf>
    <xf numFmtId="0" fontId="23" fillId="0" borderId="1" xfId="0" applyFont="1" applyBorder="1" applyAlignment="1">
      <alignment horizontal="center" vertical="center"/>
    </xf>
    <xf numFmtId="0" fontId="5" fillId="0" borderId="1" xfId="0" applyFont="1" applyBorder="1">
      <alignment vertical="center"/>
    </xf>
    <xf numFmtId="0" fontId="23" fillId="0" borderId="5" xfId="0" applyFont="1" applyBorder="1" applyAlignment="1">
      <alignment vertical="center"/>
    </xf>
    <xf numFmtId="0" fontId="23" fillId="0" borderId="5" xfId="0" applyFont="1" applyBorder="1" applyAlignment="1">
      <alignment horizontal="center" vertical="center"/>
    </xf>
    <xf numFmtId="0" fontId="23" fillId="0" borderId="1" xfId="0" applyFont="1" applyBorder="1" applyAlignment="1">
      <alignment horizontal="center" vertical="center" wrapText="1"/>
    </xf>
    <xf numFmtId="0" fontId="23" fillId="0" borderId="5" xfId="0" applyFont="1" applyBorder="1" applyAlignment="1">
      <alignment vertical="center" wrapText="1"/>
    </xf>
    <xf numFmtId="0" fontId="23" fillId="0" borderId="5" xfId="0" applyFont="1" applyBorder="1" applyAlignment="1">
      <alignment horizontal="center" vertical="center" wrapText="1"/>
    </xf>
    <xf numFmtId="0" fontId="0" fillId="0" borderId="9" xfId="0" applyBorder="1">
      <alignment vertical="center"/>
    </xf>
    <xf numFmtId="0" fontId="0" fillId="0" borderId="9" xfId="0" applyBorder="1" applyAlignment="1">
      <alignment vertical="center" shrinkToFit="1"/>
    </xf>
    <xf numFmtId="0" fontId="0" fillId="0" borderId="9" xfId="0" applyBorder="1" applyAlignment="1">
      <alignment horizontal="center" vertical="center"/>
    </xf>
    <xf numFmtId="0" fontId="0" fillId="0" borderId="9" xfId="0" applyFill="1" applyBorder="1" applyAlignment="1">
      <alignment horizontal="center" vertical="center"/>
    </xf>
    <xf numFmtId="0" fontId="0" fillId="0" borderId="15" xfId="0" applyBorder="1">
      <alignment vertical="center"/>
    </xf>
    <xf numFmtId="0" fontId="0" fillId="0" borderId="15" xfId="0" applyBorder="1" applyAlignment="1">
      <alignment vertical="center" shrinkToFit="1"/>
    </xf>
    <xf numFmtId="0" fontId="23" fillId="0" borderId="15" xfId="0" applyFont="1" applyBorder="1" applyAlignment="1">
      <alignment vertical="center"/>
    </xf>
    <xf numFmtId="0" fontId="23" fillId="0" borderId="15" xfId="0" applyFont="1" applyBorder="1" applyAlignment="1">
      <alignment vertical="center" wrapText="1"/>
    </xf>
    <xf numFmtId="0" fontId="0" fillId="0" borderId="15" xfId="0" applyFill="1" applyBorder="1" applyAlignment="1">
      <alignment horizontal="center" vertical="center"/>
    </xf>
    <xf numFmtId="0" fontId="0" fillId="0" borderId="1" xfId="0" applyBorder="1" applyAlignment="1">
      <alignment vertical="center" wrapText="1"/>
    </xf>
    <xf numFmtId="0" fontId="5" fillId="0" borderId="9" xfId="0" applyFont="1" applyBorder="1" applyAlignment="1">
      <alignment horizontal="left" vertical="center" wrapText="1"/>
    </xf>
    <xf numFmtId="0" fontId="23" fillId="0" borderId="1" xfId="0" applyFont="1" applyBorder="1" applyAlignment="1">
      <alignment horizontal="left" vertical="center" wrapText="1"/>
    </xf>
    <xf numFmtId="0" fontId="4" fillId="0" borderId="0" xfId="0" applyFont="1" applyBorder="1" applyAlignment="1">
      <alignment vertical="center"/>
    </xf>
    <xf numFmtId="0" fontId="24" fillId="0" borderId="1" xfId="0" applyFont="1" applyFill="1" applyBorder="1" applyAlignment="1">
      <alignment horizontal="left" vertical="center" wrapText="1"/>
    </xf>
    <xf numFmtId="0" fontId="23" fillId="0" borderId="14" xfId="0" applyFont="1" applyBorder="1" applyAlignment="1">
      <alignment vertical="center"/>
    </xf>
    <xf numFmtId="0" fontId="23" fillId="0" borderId="14" xfId="0" applyFont="1" applyBorder="1" applyAlignment="1">
      <alignment horizontal="center" vertical="center"/>
    </xf>
    <xf numFmtId="0" fontId="23" fillId="0" borderId="14" xfId="0" applyFont="1" applyBorder="1" applyAlignment="1">
      <alignment horizontal="center"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9" borderId="9" xfId="0" applyFill="1" applyBorder="1" applyAlignment="1">
      <alignment horizontal="center" vertical="center"/>
    </xf>
    <xf numFmtId="0" fontId="0" fillId="9" borderId="1" xfId="0" applyFill="1" applyBorder="1" applyAlignment="1">
      <alignment horizontal="center" vertical="center"/>
    </xf>
    <xf numFmtId="0" fontId="0" fillId="9" borderId="15" xfId="0"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22" fillId="0" borderId="0" xfId="0" applyFont="1" applyBorder="1" applyAlignment="1">
      <alignment horizontal="center" vertical="center"/>
    </xf>
    <xf numFmtId="0" fontId="5" fillId="8" borderId="1" xfId="0"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vertical="center" wrapText="1" shrinkToFit="1"/>
    </xf>
    <xf numFmtId="0" fontId="5" fillId="0" borderId="1" xfId="0" applyFont="1" applyBorder="1" applyAlignment="1">
      <alignment vertical="center" wrapText="1"/>
    </xf>
    <xf numFmtId="0" fontId="0" fillId="0" borderId="1" xfId="0" applyBorder="1" applyAlignment="1">
      <alignment horizontal="center" vertical="center" wrapText="1"/>
    </xf>
    <xf numFmtId="9" fontId="4" fillId="0" borderId="1" xfId="1" applyFont="1" applyBorder="1" applyAlignment="1">
      <alignment vertical="center" shrinkToFit="1"/>
    </xf>
    <xf numFmtId="0" fontId="0" fillId="7" borderId="1"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4" fillId="8" borderId="1" xfId="0" applyFont="1" applyFill="1" applyBorder="1" applyAlignment="1">
      <alignment horizontal="center" vertical="center" wrapText="1" shrinkToFit="1"/>
    </xf>
    <xf numFmtId="0" fontId="0" fillId="0" borderId="0" xfId="0" applyAlignment="1">
      <alignment vertical="center"/>
    </xf>
    <xf numFmtId="0" fontId="0" fillId="0" borderId="5" xfId="0" applyBorder="1" applyAlignment="1">
      <alignment horizontal="center" vertical="center"/>
    </xf>
    <xf numFmtId="0" fontId="0" fillId="0" borderId="5" xfId="0" applyBorder="1" applyAlignment="1">
      <alignment vertical="center" wrapText="1"/>
    </xf>
    <xf numFmtId="0" fontId="4" fillId="0" borderId="0" xfId="0" applyFont="1" applyAlignment="1">
      <alignment horizontal="left" vertical="center" wrapText="1"/>
    </xf>
    <xf numFmtId="0" fontId="24" fillId="0" borderId="1" xfId="0" applyFont="1" applyBorder="1" applyAlignment="1">
      <alignment vertical="center" wrapText="1"/>
    </xf>
    <xf numFmtId="0" fontId="4" fillId="0" borderId="0" xfId="0" applyFont="1" applyAlignment="1">
      <alignment vertical="center" wrapText="1"/>
    </xf>
    <xf numFmtId="0" fontId="24" fillId="0" borderId="1" xfId="0" applyFont="1" applyBorder="1">
      <alignment vertical="center"/>
    </xf>
    <xf numFmtId="0" fontId="0" fillId="0" borderId="0" xfId="0" applyAlignment="1">
      <alignment horizontal="center" vertical="center" wrapTex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7" xfId="0" applyBorder="1" applyAlignment="1">
      <alignment horizontal="center" vertical="center"/>
    </xf>
    <xf numFmtId="0" fontId="0" fillId="0" borderId="2" xfId="0" applyBorder="1">
      <alignment vertical="center"/>
    </xf>
    <xf numFmtId="9" fontId="4" fillId="0" borderId="2" xfId="1" applyFont="1" applyBorder="1" applyAlignment="1">
      <alignment vertical="center" shrinkToFit="1"/>
    </xf>
    <xf numFmtId="0" fontId="4" fillId="0" borderId="1" xfId="0" applyFont="1" applyBorder="1" applyAlignment="1">
      <alignment vertical="center" wrapText="1"/>
    </xf>
    <xf numFmtId="0" fontId="26" fillId="0" borderId="1" xfId="0" applyFont="1" applyBorder="1" applyAlignment="1">
      <alignment vertical="center" wrapText="1"/>
    </xf>
    <xf numFmtId="0" fontId="0" fillId="0" borderId="19" xfId="0" applyBorder="1" applyAlignment="1">
      <alignment horizontal="center" vertical="center" wrapText="1"/>
    </xf>
    <xf numFmtId="0" fontId="6" fillId="0" borderId="1" xfId="0" applyFont="1" applyBorder="1" applyAlignment="1">
      <alignment vertical="center" wrapText="1" shrinkToFit="1"/>
    </xf>
    <xf numFmtId="0" fontId="27" fillId="0" borderId="1" xfId="0" applyFont="1" applyBorder="1" applyAlignment="1">
      <alignment vertical="center" wrapText="1" shrinkToFit="1"/>
    </xf>
    <xf numFmtId="0" fontId="27" fillId="0" borderId="1" xfId="0" applyFont="1" applyFill="1" applyBorder="1" applyAlignment="1">
      <alignment vertical="center" wrapText="1" shrinkToFit="1"/>
    </xf>
    <xf numFmtId="0" fontId="0" fillId="0" borderId="9" xfId="0" applyBorder="1" applyAlignment="1">
      <alignment horizontal="center" vertical="center" shrinkToFit="1"/>
    </xf>
    <xf numFmtId="0" fontId="5" fillId="0" borderId="9" xfId="0" applyFont="1"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23" xfId="0" applyBorder="1">
      <alignment vertical="center"/>
    </xf>
    <xf numFmtId="0" fontId="0" fillId="0" borderId="3" xfId="0" applyBorder="1">
      <alignment vertical="center"/>
    </xf>
    <xf numFmtId="0" fontId="0" fillId="0" borderId="24" xfId="0" applyBorder="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alignmen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Alignment="1">
      <alignment horizontal="center" vertical="center"/>
    </xf>
    <xf numFmtId="0" fontId="0" fillId="0" borderId="12" xfId="0" applyFont="1" applyBorder="1" applyAlignment="1">
      <alignment horizontal="center" vertical="center" wrapText="1"/>
    </xf>
    <xf numFmtId="9" fontId="0" fillId="0" borderId="10" xfId="1" applyNumberFormat="1" applyFont="1" applyBorder="1" applyAlignment="1">
      <alignment horizontal="center" vertical="center" wrapText="1"/>
    </xf>
    <xf numFmtId="0" fontId="0" fillId="0" borderId="12" xfId="0" applyFont="1" applyBorder="1" applyAlignment="1">
      <alignment vertical="center" wrapText="1"/>
    </xf>
    <xf numFmtId="0" fontId="0" fillId="0" borderId="25" xfId="0" applyFont="1" applyBorder="1" applyAlignment="1">
      <alignment horizontal="center" vertical="center"/>
    </xf>
    <xf numFmtId="0" fontId="0" fillId="0" borderId="16" xfId="0" applyFont="1" applyBorder="1" applyAlignment="1">
      <alignment vertical="center" wrapText="1"/>
    </xf>
    <xf numFmtId="0" fontId="0" fillId="0" borderId="0" xfId="0" applyFont="1" applyAlignment="1">
      <alignment vertical="center" wrapText="1"/>
    </xf>
    <xf numFmtId="0" fontId="0" fillId="0" borderId="8" xfId="0" applyBorder="1" applyAlignment="1">
      <alignment vertical="center" shrinkToFit="1"/>
    </xf>
    <xf numFmtId="0" fontId="4" fillId="0" borderId="8" xfId="0" applyFont="1" applyBorder="1" applyAlignment="1">
      <alignment vertical="center"/>
    </xf>
    <xf numFmtId="0" fontId="0" fillId="0" borderId="8" xfId="0" applyBorder="1" applyAlignment="1">
      <alignment vertical="center"/>
    </xf>
    <xf numFmtId="0" fontId="0" fillId="0" borderId="6" xfId="0" applyBorder="1" applyAlignment="1">
      <alignment vertical="center" shrinkToFit="1"/>
    </xf>
    <xf numFmtId="0" fontId="4" fillId="0" borderId="6" xfId="0" applyFont="1" applyBorder="1" applyAlignment="1">
      <alignment vertical="center"/>
    </xf>
    <xf numFmtId="0" fontId="0" fillId="0" borderId="6" xfId="0" applyBorder="1" applyAlignment="1">
      <alignment vertical="center"/>
    </xf>
    <xf numFmtId="0" fontId="0" fillId="0" borderId="14" xfId="0" applyBorder="1" applyAlignment="1">
      <alignment vertical="center" shrinkToFit="1"/>
    </xf>
    <xf numFmtId="0" fontId="4" fillId="0" borderId="14" xfId="0" applyFont="1" applyBorder="1" applyAlignment="1">
      <alignment vertical="center"/>
    </xf>
    <xf numFmtId="0" fontId="0" fillId="0" borderId="14" xfId="0" applyBorder="1" applyAlignment="1">
      <alignment vertical="center"/>
    </xf>
    <xf numFmtId="0" fontId="0" fillId="0" borderId="1" xfId="0" applyBorder="1" applyAlignment="1">
      <alignment vertical="center" wrapText="1" shrinkToFit="1"/>
    </xf>
    <xf numFmtId="0" fontId="28" fillId="0" borderId="1" xfId="0" applyFont="1" applyBorder="1" applyAlignment="1">
      <alignment vertical="center" wrapText="1" shrinkToFit="1"/>
    </xf>
    <xf numFmtId="9" fontId="0" fillId="0" borderId="1" xfId="1" applyFont="1" applyBorder="1" applyAlignment="1">
      <alignment horizontal="center" vertical="center"/>
    </xf>
    <xf numFmtId="0" fontId="4" fillId="0" borderId="15" xfId="0" applyFont="1" applyBorder="1" applyAlignment="1">
      <alignment vertical="center" wrapText="1"/>
    </xf>
    <xf numFmtId="0" fontId="29" fillId="0" borderId="0" xfId="0" applyFont="1" applyAlignment="1">
      <alignment horizontal="left" vertical="center"/>
    </xf>
    <xf numFmtId="0" fontId="30" fillId="0" borderId="0" xfId="0" applyFont="1" applyAlignment="1">
      <alignment horizontal="center" vertical="center" wrapText="1"/>
    </xf>
    <xf numFmtId="0" fontId="28" fillId="0" borderId="9" xfId="0" applyFont="1" applyBorder="1" applyAlignment="1">
      <alignment horizontal="center" vertical="center" wrapText="1"/>
    </xf>
    <xf numFmtId="0" fontId="0" fillId="0" borderId="27" xfId="0" applyBorder="1" applyAlignment="1">
      <alignment horizontal="right" vertical="center" shrinkToFit="1"/>
    </xf>
    <xf numFmtId="0" fontId="0" fillId="0" borderId="28" xfId="0" applyFont="1" applyBorder="1" applyAlignment="1">
      <alignment horizontal="center" vertical="center"/>
    </xf>
    <xf numFmtId="178" fontId="0" fillId="0" borderId="29" xfId="0" applyNumberFormat="1" applyBorder="1" applyAlignment="1">
      <alignment horizontal="center" vertical="center"/>
    </xf>
    <xf numFmtId="0" fontId="4" fillId="0" borderId="27" xfId="0" applyFont="1" applyBorder="1" applyAlignment="1">
      <alignment horizontal="right" vertical="center"/>
    </xf>
    <xf numFmtId="0" fontId="0" fillId="8" borderId="1" xfId="0" applyFont="1" applyFill="1" applyBorder="1" applyAlignment="1">
      <alignment horizontal="center" vertical="center" wrapText="1"/>
    </xf>
    <xf numFmtId="0" fontId="0" fillId="10" borderId="1" xfId="0" applyFill="1" applyBorder="1" applyAlignment="1">
      <alignment horizontal="center" vertical="center"/>
    </xf>
    <xf numFmtId="0" fontId="4" fillId="0" borderId="1" xfId="0" applyFont="1" applyBorder="1" applyAlignment="1">
      <alignment horizontal="center" vertical="center" wrapText="1"/>
    </xf>
    <xf numFmtId="14" fontId="0" fillId="10" borderId="1" xfId="0" applyNumberFormat="1" applyFill="1" applyBorder="1" applyAlignment="1">
      <alignment horizontal="center" vertical="center"/>
    </xf>
    <xf numFmtId="0" fontId="5" fillId="0" borderId="1" xfId="0" applyFont="1" applyFill="1" applyBorder="1" applyAlignment="1">
      <alignment horizontal="center" vertical="center"/>
    </xf>
    <xf numFmtId="0" fontId="0" fillId="10" borderId="1" xfId="0" applyNumberFormat="1" applyFill="1" applyBorder="1" applyAlignment="1">
      <alignment horizontal="center" vertical="center"/>
    </xf>
    <xf numFmtId="0" fontId="5" fillId="0" borderId="0" xfId="0" applyFont="1" applyAlignment="1">
      <alignment vertical="center" wrapText="1"/>
    </xf>
    <xf numFmtId="0" fontId="0" fillId="0" borderId="0" xfId="0" applyBorder="1" applyAlignment="1">
      <alignment horizontal="center" vertical="center" shrinkToFit="1"/>
    </xf>
    <xf numFmtId="0" fontId="5" fillId="0" borderId="0" xfId="0" applyFont="1" applyBorder="1" applyAlignment="1">
      <alignment horizontal="center" vertical="center" wrapText="1" shrinkToFit="1"/>
    </xf>
    <xf numFmtId="0" fontId="0" fillId="0" borderId="0" xfId="0" applyFill="1" applyBorder="1" applyAlignment="1">
      <alignment vertical="center" shrinkToFit="1"/>
    </xf>
    <xf numFmtId="0" fontId="4" fillId="0" borderId="1" xfId="0" applyFont="1" applyBorder="1" applyAlignment="1">
      <alignment horizontal="right" vertical="center" shrinkToFit="1"/>
    </xf>
    <xf numFmtId="0" fontId="0" fillId="0" borderId="1" xfId="0" applyFill="1" applyBorder="1" applyAlignment="1">
      <alignment horizontal="center" vertical="center"/>
    </xf>
    <xf numFmtId="0" fontId="0" fillId="0" borderId="1" xfId="0" applyBorder="1" applyAlignment="1">
      <alignment horizontal="right" vertical="center" shrinkToFit="1"/>
    </xf>
    <xf numFmtId="0" fontId="0" fillId="0" borderId="5" xfId="0" applyBorder="1" applyAlignment="1">
      <alignment vertical="center" shrinkToFit="1"/>
    </xf>
    <xf numFmtId="0" fontId="0" fillId="0" borderId="0" xfId="0" applyFill="1" applyBorder="1" applyAlignment="1">
      <alignment horizontal="center" vertical="center" shrinkToFit="1"/>
    </xf>
    <xf numFmtId="14" fontId="0" fillId="0" borderId="0" xfId="0" applyNumberFormat="1" applyAlignment="1">
      <alignment vertical="center" shrinkToFit="1"/>
    </xf>
    <xf numFmtId="0" fontId="0" fillId="0" borderId="0" xfId="0" applyAlignment="1">
      <alignment horizontal="right" vertical="center"/>
    </xf>
    <xf numFmtId="0" fontId="26" fillId="0" borderId="1" xfId="0" applyFont="1" applyBorder="1" applyAlignment="1">
      <alignment horizontal="left"/>
    </xf>
    <xf numFmtId="0" fontId="26" fillId="0" borderId="1" xfId="0" applyFont="1" applyBorder="1" applyAlignment="1">
      <alignment horizontal="center" vertical="center"/>
    </xf>
    <xf numFmtId="0" fontId="28"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24" fillId="9" borderId="1" xfId="0" applyFont="1" applyFill="1" applyBorder="1" applyAlignment="1">
      <alignment horizontal="center" vertical="center" wrapText="1"/>
    </xf>
    <xf numFmtId="9" fontId="24" fillId="9"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29" fillId="0" borderId="1" xfId="0" applyFont="1" applyFill="1" applyBorder="1" applyAlignment="1">
      <alignment vertical="center" wrapText="1"/>
    </xf>
    <xf numFmtId="0" fontId="24" fillId="0" borderId="1" xfId="0" applyFont="1" applyFill="1" applyBorder="1" applyAlignment="1">
      <alignment vertical="center" wrapText="1"/>
    </xf>
    <xf numFmtId="0" fontId="0" fillId="0" borderId="0" xfId="0" applyNumberFormat="1" applyFill="1" applyBorder="1" applyAlignment="1">
      <alignment horizontal="center" vertical="center"/>
    </xf>
    <xf numFmtId="0" fontId="0" fillId="0" borderId="0" xfId="0" applyFill="1" applyAlignment="1">
      <alignment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0" xfId="0" applyFont="1" applyAlignment="1">
      <alignment horizontal="center" vertical="center"/>
    </xf>
    <xf numFmtId="0" fontId="22" fillId="0" borderId="0" xfId="0" applyFont="1">
      <alignment vertical="center"/>
    </xf>
    <xf numFmtId="179" fontId="23" fillId="0" borderId="1" xfId="0" applyNumberFormat="1" applyFont="1" applyBorder="1" applyAlignment="1">
      <alignment horizontal="center" vertical="center" wrapText="1"/>
    </xf>
    <xf numFmtId="0" fontId="0" fillId="0" borderId="2" xfId="0" applyFill="1" applyBorder="1" applyAlignment="1">
      <alignment horizontal="center" vertical="center"/>
    </xf>
    <xf numFmtId="0" fontId="0" fillId="0" borderId="1" xfId="0" applyBorder="1" applyAlignment="1">
      <alignment horizontal="center" vertical="center" shrinkToFit="1"/>
    </xf>
    <xf numFmtId="0" fontId="4"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0" fillId="0" borderId="0" xfId="0" applyFill="1" applyBorder="1">
      <alignment vertical="center"/>
    </xf>
    <xf numFmtId="0" fontId="0" fillId="0" borderId="1" xfId="0" applyFill="1" applyBorder="1" applyAlignment="1">
      <alignment horizontal="left" vertical="center"/>
    </xf>
    <xf numFmtId="0" fontId="0" fillId="13" borderId="1" xfId="0" applyFill="1" applyBorder="1" applyAlignment="1">
      <alignment horizontal="center" vertical="center"/>
    </xf>
    <xf numFmtId="0" fontId="25" fillId="0" borderId="1" xfId="0" applyFont="1" applyFill="1" applyBorder="1" applyAlignment="1">
      <alignment horizontal="left" vertical="center" wrapText="1"/>
    </xf>
    <xf numFmtId="14" fontId="4" fillId="0" borderId="0" xfId="0" applyNumberFormat="1" applyFont="1" applyAlignment="1">
      <alignment vertical="center"/>
    </xf>
    <xf numFmtId="0" fontId="21" fillId="0" borderId="0" xfId="0" applyFont="1" applyAlignment="1">
      <alignment horizontal="left" vertical="center"/>
    </xf>
    <xf numFmtId="0" fontId="21" fillId="0" borderId="0" xfId="0" applyFont="1" applyFill="1" applyAlignment="1">
      <alignment horizontal="left" vertical="center"/>
    </xf>
    <xf numFmtId="0" fontId="5" fillId="0" borderId="0" xfId="0" applyFont="1" applyAlignment="1">
      <alignment horizontal="right" vertical="center"/>
    </xf>
    <xf numFmtId="0" fontId="0" fillId="0" borderId="19" xfId="0" applyBorder="1">
      <alignment vertical="center"/>
    </xf>
    <xf numFmtId="0" fontId="0" fillId="0" borderId="19" xfId="0" applyBorder="1" applyAlignment="1">
      <alignment horizontal="center" vertical="center" shrinkToFit="1"/>
    </xf>
    <xf numFmtId="0" fontId="0" fillId="0" borderId="19" xfId="0" applyBorder="1" applyAlignment="1">
      <alignment horizontal="center" vertical="center"/>
    </xf>
    <xf numFmtId="0" fontId="0" fillId="0" borderId="30" xfId="0" applyFont="1" applyBorder="1" applyAlignment="1">
      <alignment horizontal="center" vertical="center"/>
    </xf>
    <xf numFmtId="0" fontId="24" fillId="0" borderId="15" xfId="0" applyFont="1" applyBorder="1" applyAlignment="1">
      <alignment vertical="center" wrapText="1"/>
    </xf>
    <xf numFmtId="0" fontId="0" fillId="0" borderId="9" xfId="0" applyFont="1" applyBorder="1">
      <alignment vertical="center"/>
    </xf>
    <xf numFmtId="0" fontId="28" fillId="0" borderId="1" xfId="0" applyFont="1" applyBorder="1">
      <alignment vertical="center"/>
    </xf>
    <xf numFmtId="0" fontId="22" fillId="0" borderId="20" xfId="0" applyFont="1" applyBorder="1" applyAlignment="1">
      <alignment horizontal="center" vertical="center" wrapText="1"/>
    </xf>
    <xf numFmtId="0" fontId="0" fillId="0" borderId="9" xfId="0" applyBorder="1" applyAlignment="1">
      <alignment horizontal="center" vertical="center" wrapText="1"/>
    </xf>
    <xf numFmtId="0" fontId="22" fillId="0" borderId="23" xfId="0" applyFont="1" applyBorder="1" applyAlignment="1">
      <alignment horizontal="center" vertical="center" wrapText="1"/>
    </xf>
    <xf numFmtId="0" fontId="4" fillId="0" borderId="9" xfId="0" applyFont="1" applyBorder="1" applyAlignment="1">
      <alignment horizontal="center" vertical="center"/>
    </xf>
    <xf numFmtId="0" fontId="26"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0" fillId="0" borderId="1" xfId="0" applyBorder="1" applyAlignment="1">
      <alignment horizontal="center" vertical="center" wrapText="1"/>
    </xf>
    <xf numFmtId="0" fontId="30" fillId="0" borderId="3" xfId="0" applyFont="1" applyBorder="1" applyAlignment="1">
      <alignment horizontal="center" vertical="center" wrapText="1"/>
    </xf>
    <xf numFmtId="0" fontId="26" fillId="0" borderId="19" xfId="0" applyFont="1" applyBorder="1" applyAlignment="1">
      <alignment horizontal="center" vertical="center"/>
    </xf>
    <xf numFmtId="0" fontId="24" fillId="0" borderId="19" xfId="0" applyFont="1" applyBorder="1" applyAlignment="1">
      <alignment horizontal="left" vertical="center" wrapText="1"/>
    </xf>
    <xf numFmtId="0" fontId="4" fillId="0" borderId="31"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2" xfId="0" applyFont="1" applyBorder="1" applyAlignment="1">
      <alignment horizontal="center" vertical="center"/>
    </xf>
    <xf numFmtId="0" fontId="24" fillId="0" borderId="1" xfId="0" applyFont="1" applyBorder="1" applyAlignment="1">
      <alignment horizontal="left" vertical="center" wrapText="1"/>
    </xf>
    <xf numFmtId="0" fontId="30" fillId="0" borderId="24" xfId="0" applyFont="1" applyBorder="1" applyAlignment="1">
      <alignment horizontal="center" vertical="center" wrapText="1"/>
    </xf>
    <xf numFmtId="0" fontId="26" fillId="0" borderId="15" xfId="0" applyFont="1" applyBorder="1" applyAlignment="1">
      <alignment horizontal="center" vertical="center" wrapText="1"/>
    </xf>
    <xf numFmtId="0" fontId="4" fillId="0" borderId="18" xfId="0" applyFont="1" applyBorder="1" applyAlignment="1">
      <alignment horizontal="center" vertical="center"/>
    </xf>
    <xf numFmtId="0" fontId="30"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23" fillId="0" borderId="0" xfId="0" applyFont="1" applyBorder="1" applyAlignment="1">
      <alignment horizontal="center" vertical="center"/>
    </xf>
    <xf numFmtId="0" fontId="2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lignment vertical="center" wrapText="1"/>
    </xf>
    <xf numFmtId="0" fontId="0" fillId="0" borderId="29" xfId="0" quotePrefix="1" applyBorder="1" applyAlignment="1">
      <alignment horizontal="center" vertical="center"/>
    </xf>
    <xf numFmtId="0" fontId="3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0" fillId="14" borderId="0" xfId="0" applyFill="1">
      <alignment vertical="center"/>
    </xf>
    <xf numFmtId="0" fontId="0" fillId="14" borderId="0" xfId="0" applyFill="1" applyAlignment="1">
      <alignment horizontal="center" vertical="center"/>
    </xf>
    <xf numFmtId="0" fontId="29" fillId="0" borderId="2"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8" xfId="0" applyFont="1" applyBorder="1" applyAlignment="1">
      <alignment horizontal="center" vertical="center" wrapText="1"/>
    </xf>
    <xf numFmtId="0" fontId="19" fillId="14" borderId="0" xfId="0" applyFont="1" applyFill="1">
      <alignment vertical="center"/>
    </xf>
    <xf numFmtId="0" fontId="0" fillId="14" borderId="0" xfId="0" applyFill="1" applyAlignment="1">
      <alignment vertical="center" shrinkToFit="1"/>
    </xf>
    <xf numFmtId="0" fontId="0" fillId="14" borderId="0" xfId="0" applyFill="1" applyAlignment="1">
      <alignment horizontal="center" vertical="center" shrinkToFit="1"/>
    </xf>
    <xf numFmtId="180" fontId="0" fillId="14" borderId="0" xfId="0" applyNumberFormat="1" applyFill="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shrinkToFit="1"/>
    </xf>
    <xf numFmtId="0" fontId="0" fillId="0" borderId="0" xfId="0" applyAlignment="1">
      <alignment horizontal="left" vertical="center"/>
    </xf>
    <xf numFmtId="178" fontId="0" fillId="0" borderId="1" xfId="0" applyNumberFormat="1" applyBorder="1" applyAlignment="1">
      <alignment horizontal="center" vertical="center"/>
    </xf>
    <xf numFmtId="0" fontId="5" fillId="0" borderId="0" xfId="0" applyFont="1" applyAlignment="1">
      <alignment horizontal="center" vertical="center" wrapText="1"/>
    </xf>
    <xf numFmtId="0" fontId="0" fillId="0" borderId="1" xfId="0" applyBorder="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24" fillId="0" borderId="1" xfId="0" applyFont="1" applyFill="1" applyBorder="1" applyAlignment="1">
      <alignment horizontal="left" vertical="center" wrapText="1"/>
    </xf>
    <xf numFmtId="0" fontId="0" fillId="0" borderId="1" xfId="0" applyBorder="1" applyAlignment="1">
      <alignment horizontal="center" vertical="center" wrapText="1"/>
    </xf>
    <xf numFmtId="0" fontId="29" fillId="0" borderId="1" xfId="0" applyFont="1" applyBorder="1" applyAlignment="1">
      <alignment horizontal="left" vertical="center" wrapText="1"/>
    </xf>
    <xf numFmtId="0" fontId="29" fillId="0" borderId="15" xfId="0" applyFont="1" applyBorder="1" applyAlignment="1">
      <alignment horizontal="left" vertical="center" wrapText="1"/>
    </xf>
    <xf numFmtId="0" fontId="29" fillId="0" borderId="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6" xfId="0" applyFont="1" applyBorder="1" applyAlignment="1">
      <alignment horizontal="left" vertical="center" wrapText="1"/>
    </xf>
    <xf numFmtId="0" fontId="0" fillId="14" borderId="0" xfId="0" applyFill="1" applyAlignment="1">
      <alignment vertical="center" wrapText="1"/>
    </xf>
    <xf numFmtId="0" fontId="33" fillId="14" borderId="0" xfId="0" applyFont="1" applyFill="1">
      <alignment vertical="center"/>
    </xf>
    <xf numFmtId="0" fontId="17" fillId="0" borderId="0" xfId="0" applyFont="1" applyAlignment="1">
      <alignment vertical="center"/>
    </xf>
    <xf numFmtId="0" fontId="26" fillId="0" borderId="1" xfId="0" applyFont="1" applyBorder="1" applyAlignment="1">
      <alignment horizontal="center" vertical="center" shrinkToFit="1"/>
    </xf>
    <xf numFmtId="177" fontId="0" fillId="0" borderId="2" xfId="0" applyNumberFormat="1" applyBorder="1" applyAlignment="1">
      <alignment horizontal="center" vertical="center"/>
    </xf>
    <xf numFmtId="177" fontId="0" fillId="0" borderId="0" xfId="0" applyNumberFormat="1" applyAlignment="1">
      <alignment horizontal="center" vertical="center"/>
    </xf>
    <xf numFmtId="177" fontId="0" fillId="0" borderId="1" xfId="0" applyNumberFormat="1" applyBorder="1" applyAlignment="1">
      <alignment horizontal="center" vertical="center"/>
    </xf>
    <xf numFmtId="0" fontId="23" fillId="0" borderId="1" xfId="0" applyFont="1" applyFill="1" applyBorder="1" applyAlignment="1">
      <alignment horizontal="center" vertical="center" wrapText="1"/>
    </xf>
    <xf numFmtId="0" fontId="0" fillId="11" borderId="0" xfId="0" applyFill="1" applyAlignment="1">
      <alignment horizontal="left" vertical="center"/>
    </xf>
    <xf numFmtId="0" fontId="0" fillId="11" borderId="0" xfId="0" applyFill="1">
      <alignment vertical="center"/>
    </xf>
    <xf numFmtId="0" fontId="4" fillId="11" borderId="0" xfId="0" applyFont="1" applyFill="1">
      <alignment vertical="center"/>
    </xf>
    <xf numFmtId="0" fontId="4" fillId="0" borderId="0" xfId="0" applyFont="1" applyAlignment="1">
      <alignment horizontal="left" vertical="center"/>
    </xf>
    <xf numFmtId="0" fontId="37" fillId="0" borderId="0" xfId="2">
      <alignment vertical="center"/>
    </xf>
    <xf numFmtId="177" fontId="0" fillId="0" borderId="2" xfId="0" applyNumberFormat="1" applyBorder="1" applyAlignment="1">
      <alignment horizontal="center" vertical="center" shrinkToFit="1"/>
    </xf>
    <xf numFmtId="0" fontId="0" fillId="4" borderId="1" xfId="0" applyFill="1" applyBorder="1" applyAlignment="1" applyProtection="1">
      <alignment horizontal="center" vertical="center"/>
    </xf>
    <xf numFmtId="0" fontId="5" fillId="0" borderId="0" xfId="0" applyFont="1" applyAlignment="1">
      <alignment horizontal="right" vertical="center" wrapText="1"/>
    </xf>
    <xf numFmtId="0" fontId="0" fillId="0" borderId="32" xfId="0" applyBorder="1">
      <alignment vertical="center"/>
    </xf>
    <xf numFmtId="0" fontId="22" fillId="0" borderId="32" xfId="0" applyFont="1" applyBorder="1" applyAlignment="1">
      <alignment horizontal="right" vertical="center" wrapText="1"/>
    </xf>
    <xf numFmtId="0" fontId="34" fillId="0" borderId="32" xfId="0" applyFont="1" applyBorder="1" applyAlignment="1">
      <alignment horizontal="center" vertical="center"/>
    </xf>
    <xf numFmtId="0" fontId="34" fillId="0" borderId="32" xfId="0" applyFont="1" applyBorder="1">
      <alignment vertical="center"/>
    </xf>
    <xf numFmtId="0" fontId="34" fillId="0" borderId="4" xfId="0" applyFont="1" applyBorder="1" applyAlignment="1">
      <alignment horizontal="right" vertical="center" wrapText="1"/>
    </xf>
    <xf numFmtId="0" fontId="34" fillId="0" borderId="4" xfId="0" applyFont="1" applyBorder="1" applyAlignment="1">
      <alignment horizontal="center" vertical="center"/>
    </xf>
    <xf numFmtId="0" fontId="34" fillId="0" borderId="4" xfId="0" applyFont="1" applyBorder="1">
      <alignment vertical="center"/>
    </xf>
    <xf numFmtId="0" fontId="34" fillId="0" borderId="32" xfId="0" applyFont="1" applyBorder="1" applyAlignment="1">
      <alignment horizontal="right" vertical="center"/>
    </xf>
    <xf numFmtId="0" fontId="5" fillId="0" borderId="32" xfId="0" applyFont="1" applyBorder="1">
      <alignment vertical="center"/>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8" xfId="0" applyFill="1" applyBorder="1" applyAlignment="1">
      <alignment vertical="center"/>
    </xf>
    <xf numFmtId="181" fontId="23" fillId="0" borderId="1" xfId="0" applyNumberFormat="1" applyFont="1" applyBorder="1" applyAlignment="1">
      <alignment horizontal="center" vertical="center"/>
    </xf>
    <xf numFmtId="0" fontId="34" fillId="0" borderId="4" xfId="0" applyFont="1" applyBorder="1" applyAlignment="1">
      <alignment horizontal="right" vertical="center"/>
    </xf>
    <xf numFmtId="0" fontId="5" fillId="0" borderId="4" xfId="0" applyFont="1" applyBorder="1" applyAlignment="1">
      <alignment horizontal="right" vertical="center" wrapText="1"/>
    </xf>
    <xf numFmtId="0" fontId="34" fillId="0" borderId="4" xfId="0" applyFont="1" applyFill="1" applyBorder="1" applyAlignment="1">
      <alignment horizontal="center" vertical="center"/>
    </xf>
    <xf numFmtId="0" fontId="34" fillId="0" borderId="4" xfId="0" applyFont="1" applyFill="1" applyBorder="1">
      <alignment vertical="center"/>
    </xf>
    <xf numFmtId="0" fontId="0" fillId="0" borderId="1" xfId="0" applyBorder="1" applyAlignment="1">
      <alignment horizontal="center" vertical="center"/>
    </xf>
    <xf numFmtId="0" fontId="22" fillId="5" borderId="0" xfId="0" applyFont="1" applyFill="1" applyAlignment="1">
      <alignment horizontal="center" vertical="center"/>
    </xf>
    <xf numFmtId="0" fontId="19" fillId="14" borderId="0" xfId="0" applyFont="1" applyFill="1" applyAlignment="1">
      <alignment horizontal="center" vertical="center"/>
    </xf>
    <xf numFmtId="0" fontId="31" fillId="0" borderId="0" xfId="0" applyFont="1" applyAlignment="1">
      <alignment horizontal="left" vertical="top"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11" borderId="1" xfId="0" applyFill="1" applyBorder="1" applyAlignment="1">
      <alignment horizontal="center" vertical="center"/>
    </xf>
    <xf numFmtId="0" fontId="0" fillId="0" borderId="3" xfId="0" applyBorder="1" applyAlignment="1">
      <alignment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xf>
    <xf numFmtId="0" fontId="4"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3" xfId="0" applyFont="1" applyBorder="1" applyAlignment="1">
      <alignment horizontal="center" vertical="center" shrinkToFit="1"/>
    </xf>
    <xf numFmtId="0" fontId="6"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left" vertical="center" wrapText="1"/>
    </xf>
    <xf numFmtId="0" fontId="26" fillId="0" borderId="0" xfId="0" applyFont="1" applyAlignment="1">
      <alignment horizontal="left" vertical="center" wrapTex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0" borderId="14" xfId="0" applyBorder="1" applyAlignment="1">
      <alignment horizontal="center" vertical="center" shrinkToFi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5" fillId="5" borderId="0" xfId="0" applyFont="1" applyFill="1" applyAlignment="1">
      <alignment horizontal="left" vertical="center" wrapText="1"/>
    </xf>
    <xf numFmtId="0" fontId="23" fillId="5" borderId="0" xfId="0" applyFont="1" applyFill="1" applyAlignment="1">
      <alignment horizontal="left" vertical="center" wrapTex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5" fillId="0" borderId="0" xfId="0" applyFont="1" applyAlignment="1">
      <alignment horizontal="left" vertical="center" wrapText="1"/>
    </xf>
    <xf numFmtId="0" fontId="23" fillId="0" borderId="0" xfId="0" applyFont="1" applyAlignment="1">
      <alignment horizontal="left" vertical="center" wrapText="1"/>
    </xf>
    <xf numFmtId="0" fontId="0" fillId="8" borderId="1" xfId="0" applyFill="1" applyBorder="1" applyAlignment="1">
      <alignment horizontal="center" vertical="center"/>
    </xf>
    <xf numFmtId="0" fontId="0" fillId="0" borderId="26" xfId="0" applyBorder="1" applyAlignment="1">
      <alignment horizontal="left" vertical="center"/>
    </xf>
    <xf numFmtId="0" fontId="0" fillId="0" borderId="0" xfId="0" applyAlignment="1">
      <alignment horizontal="left" vertical="center"/>
    </xf>
    <xf numFmtId="0" fontId="29" fillId="0" borderId="26" xfId="0" applyFont="1" applyBorder="1" applyAlignment="1">
      <alignment horizontal="left" vertical="center" wrapText="1"/>
    </xf>
    <xf numFmtId="0" fontId="29" fillId="0" borderId="0" xfId="0" applyFont="1" applyAlignment="1">
      <alignment horizontal="left" vertical="center" wrapText="1"/>
    </xf>
    <xf numFmtId="0" fontId="0" fillId="0" borderId="26"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9" xfId="0" applyFill="1" applyBorder="1" applyAlignment="1">
      <alignment horizontal="center" vertical="center" wrapText="1"/>
    </xf>
    <xf numFmtId="0" fontId="32" fillId="9" borderId="5" xfId="0" applyFont="1" applyFill="1" applyBorder="1" applyAlignment="1">
      <alignment horizontal="center" vertical="center" wrapText="1"/>
    </xf>
    <xf numFmtId="0" fontId="32" fillId="9" borderId="6" xfId="0" applyFont="1" applyFill="1" applyBorder="1" applyAlignment="1">
      <alignment horizontal="center" vertical="center" wrapText="1"/>
    </xf>
    <xf numFmtId="0" fontId="32" fillId="9" borderId="19"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0" fillId="12" borderId="2" xfId="0" applyFill="1" applyBorder="1" applyAlignment="1">
      <alignment horizontal="left" vertical="center" wrapText="1"/>
    </xf>
    <xf numFmtId="0" fontId="0" fillId="12" borderId="4" xfId="0" applyFill="1" applyBorder="1" applyAlignment="1">
      <alignment horizontal="left" vertical="center" wrapText="1"/>
    </xf>
    <xf numFmtId="0" fontId="0" fillId="12" borderId="3" xfId="0" applyFill="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14" fontId="4" fillId="0" borderId="0" xfId="0" applyNumberFormat="1" applyFont="1" applyAlignment="1">
      <alignment horizontal="left" vertical="center"/>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4" fillId="0" borderId="19" xfId="0" applyFont="1" applyFill="1" applyBorder="1" applyAlignment="1">
      <alignment vertical="center" wrapText="1"/>
    </xf>
    <xf numFmtId="0" fontId="24" fillId="0" borderId="1" xfId="0" applyFont="1" applyFill="1"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wrapText="1"/>
    </xf>
  </cellXfs>
  <cellStyles count="3">
    <cellStyle name="パーセント" xfId="1" builtinId="5"/>
    <cellStyle name="ハイパーリンク" xfId="2" builtinId="8"/>
    <cellStyle name="標準" xfId="0" builtinId="0"/>
  </cellStyles>
  <dxfs count="9">
    <dxf>
      <font>
        <condense val="0"/>
        <extend val="0"/>
        <color rgb="FF9C0006"/>
      </font>
    </dxf>
    <dxf>
      <font>
        <b/>
        <i val="0"/>
        <strike val="0"/>
        <color rgb="FFC00000"/>
      </font>
    </dxf>
    <dxf>
      <font>
        <condense val="0"/>
        <extend val="0"/>
        <color rgb="FF9C0006"/>
      </font>
    </dxf>
    <dxf>
      <font>
        <b/>
        <i val="0"/>
        <strike val="0"/>
        <color rgb="FFC00000"/>
      </font>
    </dxf>
    <dxf>
      <font>
        <b/>
        <i val="0"/>
        <strike val="0"/>
        <color rgb="FFC00000"/>
      </font>
    </dxf>
    <dxf>
      <font>
        <b/>
        <i val="0"/>
        <color rgb="FFFF0000"/>
      </font>
    </dxf>
    <dxf>
      <font>
        <color rgb="FFFF6600"/>
      </font>
    </dxf>
    <dxf>
      <font>
        <color rgb="FFFF6600"/>
      </font>
    </dxf>
    <dxf>
      <font>
        <b/>
        <i val="0"/>
        <strike val="0"/>
        <color rgb="FFC00000"/>
      </font>
    </dxf>
  </dxfs>
  <tableStyles count="0" defaultTableStyle="TableStyleMedium9" defaultPivotStyle="PivotStyleLight16"/>
  <colors>
    <mruColors>
      <color rgb="FFFFFFCC"/>
      <color rgb="FFFFCCFF"/>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sc.meiji.ac.jp/~mech/jabee/index.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7"/>
  <sheetViews>
    <sheetView showGridLines="0" tabSelected="1" view="pageBreakPreview" topLeftCell="A4" zoomScaleNormal="100" zoomScaleSheetLayoutView="100" workbookViewId="0">
      <selection activeCell="J15" sqref="J15"/>
    </sheetView>
  </sheetViews>
  <sheetFormatPr defaultRowHeight="13.2" x14ac:dyDescent="0.2"/>
  <cols>
    <col min="1" max="1" width="2.88671875" customWidth="1"/>
    <col min="2" max="2" width="18.21875" customWidth="1"/>
    <col min="3" max="3" width="16.109375" customWidth="1"/>
    <col min="4" max="4" width="4.21875" customWidth="1"/>
    <col min="5" max="5" width="45.6640625" customWidth="1"/>
    <col min="6" max="6" width="3" customWidth="1"/>
    <col min="7" max="7" width="10.5546875" customWidth="1"/>
    <col min="8" max="8" width="3.88671875" customWidth="1"/>
    <col min="9" max="9" width="5.88671875" customWidth="1"/>
    <col min="10" max="10" width="18.88671875" customWidth="1"/>
  </cols>
  <sheetData>
    <row r="1" spans="2:10" ht="26.4" customHeight="1" x14ac:dyDescent="0.2">
      <c r="B1" s="312" t="s">
        <v>783</v>
      </c>
      <c r="C1" s="312"/>
      <c r="D1" s="312"/>
      <c r="E1" s="312"/>
    </row>
    <row r="2" spans="2:10" ht="12.6" customHeight="1" x14ac:dyDescent="0.2">
      <c r="H2" s="293"/>
      <c r="I2" s="301" t="s">
        <v>760</v>
      </c>
      <c r="J2" s="293"/>
    </row>
    <row r="3" spans="2:10" ht="24" customHeight="1" x14ac:dyDescent="0.2">
      <c r="B3" s="12" t="s">
        <v>0</v>
      </c>
      <c r="C3" s="166">
        <v>2015</v>
      </c>
      <c r="E3" s="313" t="s">
        <v>782</v>
      </c>
      <c r="H3" s="294" t="s">
        <v>764</v>
      </c>
      <c r="I3" s="295" t="s">
        <v>758</v>
      </c>
      <c r="J3" s="296" t="s">
        <v>759</v>
      </c>
    </row>
    <row r="4" spans="2:10" ht="24" customHeight="1" x14ac:dyDescent="0.2">
      <c r="B4" s="12" t="s">
        <v>1</v>
      </c>
      <c r="C4" s="166" t="s">
        <v>744</v>
      </c>
      <c r="E4" s="313"/>
      <c r="H4" s="297">
        <v>1</v>
      </c>
      <c r="I4" s="298">
        <v>1.1000000000000001</v>
      </c>
      <c r="J4" s="299" t="s">
        <v>761</v>
      </c>
    </row>
    <row r="5" spans="2:10" ht="24" customHeight="1" x14ac:dyDescent="0.2">
      <c r="B5" s="12" t="s">
        <v>538</v>
      </c>
      <c r="C5" s="166" t="s">
        <v>539</v>
      </c>
      <c r="E5" s="313"/>
      <c r="H5" s="300">
        <v>2</v>
      </c>
      <c r="I5" s="298">
        <v>1.2</v>
      </c>
      <c r="J5" s="299" t="s">
        <v>762</v>
      </c>
    </row>
    <row r="6" spans="2:10" ht="24" customHeight="1" x14ac:dyDescent="0.2">
      <c r="B6" s="12" t="s">
        <v>232</v>
      </c>
      <c r="C6" s="166" t="s">
        <v>707</v>
      </c>
      <c r="E6" s="313"/>
      <c r="H6" s="292"/>
    </row>
    <row r="7" spans="2:10" ht="24" customHeight="1" x14ac:dyDescent="0.2">
      <c r="B7" s="49" t="s">
        <v>233</v>
      </c>
      <c r="E7" s="313"/>
      <c r="H7" s="306">
        <v>3</v>
      </c>
      <c r="I7" s="298">
        <v>1.3</v>
      </c>
      <c r="J7" s="299" t="s">
        <v>765</v>
      </c>
    </row>
    <row r="8" spans="2:10" ht="24" customHeight="1" x14ac:dyDescent="0.2">
      <c r="B8" s="12" t="s">
        <v>230</v>
      </c>
      <c r="C8" s="166">
        <v>1</v>
      </c>
      <c r="E8" s="313"/>
      <c r="H8" s="307">
        <v>4</v>
      </c>
      <c r="I8" s="308">
        <v>1.4</v>
      </c>
      <c r="J8" s="309" t="s">
        <v>771</v>
      </c>
    </row>
    <row r="9" spans="2:10" ht="24" customHeight="1" x14ac:dyDescent="0.2">
      <c r="B9" s="12" t="s">
        <v>229</v>
      </c>
      <c r="C9" s="166">
        <v>5</v>
      </c>
      <c r="E9" s="313"/>
      <c r="H9" s="307">
        <v>5</v>
      </c>
      <c r="I9" s="308">
        <v>1.5</v>
      </c>
      <c r="J9" s="309" t="s">
        <v>776</v>
      </c>
    </row>
    <row r="10" spans="2:10" ht="24" customHeight="1" x14ac:dyDescent="0.2">
      <c r="B10" s="12" t="s">
        <v>228</v>
      </c>
      <c r="C10" s="166">
        <v>100</v>
      </c>
      <c r="E10" s="313"/>
      <c r="H10" s="307">
        <v>6</v>
      </c>
      <c r="I10" s="308">
        <v>1.6</v>
      </c>
      <c r="J10" s="309" t="s">
        <v>778</v>
      </c>
    </row>
    <row r="11" spans="2:10" ht="24" customHeight="1" x14ac:dyDescent="0.2">
      <c r="B11" s="12" t="s">
        <v>231</v>
      </c>
      <c r="C11" s="166" t="s">
        <v>763</v>
      </c>
      <c r="E11" s="313"/>
      <c r="H11" s="307">
        <v>7</v>
      </c>
      <c r="I11" s="308" t="s">
        <v>784</v>
      </c>
      <c r="J11" s="309" t="s">
        <v>785</v>
      </c>
    </row>
    <row r="12" spans="2:10" ht="24" customHeight="1" x14ac:dyDescent="0.2">
      <c r="B12" s="169" t="s">
        <v>542</v>
      </c>
      <c r="C12" s="168" t="s">
        <v>768</v>
      </c>
      <c r="E12" s="313"/>
      <c r="H12" s="181"/>
    </row>
    <row r="13" spans="2:10" ht="19.2" customHeight="1" x14ac:dyDescent="0.2">
      <c r="E13" s="313"/>
    </row>
    <row r="14" spans="2:10" ht="27.6" customHeight="1" x14ac:dyDescent="0.2">
      <c r="B14" s="167" t="s">
        <v>540</v>
      </c>
      <c r="C14" s="170" t="s">
        <v>770</v>
      </c>
      <c r="D14" s="197"/>
      <c r="E14" s="289" t="s">
        <v>781</v>
      </c>
    </row>
    <row r="15" spans="2:10" ht="27.6" customHeight="1" x14ac:dyDescent="0.2">
      <c r="B15" s="93" t="s">
        <v>543</v>
      </c>
      <c r="C15" s="170" t="s">
        <v>769</v>
      </c>
    </row>
    <row r="16" spans="2:10" ht="27.6" customHeight="1" x14ac:dyDescent="0.2">
      <c r="B16" s="93" t="s">
        <v>544</v>
      </c>
      <c r="C16" s="170" t="s">
        <v>546</v>
      </c>
      <c r="E16" s="289"/>
    </row>
    <row r="17" spans="2:5" ht="18.600000000000001" customHeight="1" x14ac:dyDescent="0.2">
      <c r="B17" s="134"/>
      <c r="C17" s="192"/>
    </row>
    <row r="18" spans="2:5" ht="27.6" customHeight="1" x14ac:dyDescent="0.2">
      <c r="B18" s="93" t="s">
        <v>604</v>
      </c>
      <c r="C18" s="170" t="s">
        <v>708</v>
      </c>
      <c r="D18" s="197" t="s">
        <v>607</v>
      </c>
    </row>
    <row r="19" spans="2:5" ht="27.6" customHeight="1" x14ac:dyDescent="0.2">
      <c r="B19" s="185" t="s">
        <v>605</v>
      </c>
      <c r="C19" s="170" t="s">
        <v>709</v>
      </c>
      <c r="D19" s="197" t="s">
        <v>608</v>
      </c>
    </row>
    <row r="20" spans="2:5" ht="15" customHeight="1" x14ac:dyDescent="0.2"/>
    <row r="21" spans="2:5" x14ac:dyDescent="0.2">
      <c r="B21" s="311" t="s">
        <v>545</v>
      </c>
      <c r="C21" s="311"/>
      <c r="D21" s="311"/>
      <c r="E21" s="311"/>
    </row>
    <row r="22" spans="2:5" s="48" customFormat="1" ht="17.399999999999999" customHeight="1" x14ac:dyDescent="0.2"/>
    <row r="23" spans="2:5" s="48" customFormat="1" ht="17.399999999999999" customHeight="1" x14ac:dyDescent="0.2"/>
    <row r="24" spans="2:5" s="48" customFormat="1" ht="17.399999999999999" customHeight="1" x14ac:dyDescent="0.2"/>
    <row r="25" spans="2:5" s="48" customFormat="1" ht="17.399999999999999" customHeight="1" x14ac:dyDescent="0.2"/>
    <row r="26" spans="2:5" s="48" customFormat="1" ht="17.399999999999999" customHeight="1" x14ac:dyDescent="0.2"/>
    <row r="27" spans="2:5" s="48" customFormat="1" ht="17.399999999999999" customHeight="1" x14ac:dyDescent="0.2"/>
  </sheetData>
  <sheetProtection sheet="1" objects="1" scenarios="1"/>
  <protectedRanges>
    <protectedRange sqref="C3:C6 C8:C12 C14:C16 C18:C19" name="ID入力"/>
  </protectedRanges>
  <mergeCells count="3">
    <mergeCell ref="B21:E21"/>
    <mergeCell ref="B1:E1"/>
    <mergeCell ref="E3:E13"/>
  </mergeCells>
  <phoneticPr fontId="3"/>
  <dataValidations count="8">
    <dataValidation type="list" allowBlank="1" showInputMessage="1" showErrorMessage="1" sqref="C8">
      <formula1>"1,2,3,4"</formula1>
    </dataValidation>
    <dataValidation type="list" allowBlank="1" showInputMessage="1" showErrorMessage="1" sqref="C9">
      <formula1>"5,6"</formula1>
    </dataValidation>
    <dataValidation type="whole" allowBlank="1" showInputMessage="1" showErrorMessage="1" sqref="C10">
      <formula1>1</formula1>
      <formula2>250</formula2>
    </dataValidation>
    <dataValidation type="list" allowBlank="1" showInputMessage="1" showErrorMessage="1" sqref="C11">
      <formula1>"A,B,C,D,E,F,G,H,I,J,K,L,M,N,O,P,Q,R,S,T"</formula1>
    </dataValidation>
    <dataValidation type="list" allowBlank="1" showInputMessage="1" showErrorMessage="1" sqref="C3">
      <formula1>"2015,2016,2017,2018,2019,2020"</formula1>
    </dataValidation>
    <dataValidation type="list" allowBlank="1" showInputMessage="1" showErrorMessage="1" sqref="C15">
      <formula1>"0.0～0.5,0.5～1.0,1.0～2.0,2.0～3.0,3.0～4.0,4.0～5.0,5.0以上"</formula1>
    </dataValidation>
    <dataValidation type="list" allowBlank="1" showInputMessage="1" showErrorMessage="1" sqref="C16:C17">
      <formula1>"0.0～0.3,0.3～0.5,0.5～1.0,1.0～2.0,2.0～3.0,3.0～4.0,4.0～5.0,5.0～6.0,6.0～7.0,7.0以上"</formula1>
    </dataValidation>
    <dataValidation type="list" allowBlank="1" showInputMessage="1" showErrorMessage="1" prompt="数字は，○以上～○未満　を示す。" sqref="C14">
      <formula1>"0.0～0.5,0.5～1.0,1.0～2.0,2.0～3.0,3.0～4.0,4.0～5.0,5.0以上"</formula1>
    </dataValidation>
  </dataValidations>
  <hyperlinks>
    <hyperlink ref="E14" r:id="rId1"/>
  </hyperlinks>
  <pageMargins left="0.7" right="0.7" top="0.75" bottom="0.75" header="0.3" footer="0.3"/>
  <pageSetup paperSize="9" scale="99"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228"/>
  <sheetViews>
    <sheetView showGridLines="0" showRowColHeaders="0" zoomScaleNormal="100" zoomScaleSheetLayoutView="70" workbookViewId="0">
      <pane ySplit="5" topLeftCell="A6" activePane="bottomLeft" state="frozen"/>
      <selection pane="bottomLeft" activeCell="Q14" sqref="Q14"/>
    </sheetView>
  </sheetViews>
  <sheetFormatPr defaultRowHeight="13.2" x14ac:dyDescent="0.2"/>
  <cols>
    <col min="1" max="1" width="1.77734375" customWidth="1"/>
    <col min="2" max="2" width="4.77734375" customWidth="1"/>
    <col min="3" max="3" width="20.6640625" style="36" customWidth="1"/>
    <col min="4" max="4" width="7.109375" style="36" customWidth="1"/>
    <col min="5" max="5" width="8" customWidth="1"/>
    <col min="6" max="6" width="7.77734375" customWidth="1"/>
    <col min="7" max="7" width="5.21875" customWidth="1"/>
    <col min="8" max="8" width="8" customWidth="1"/>
    <col min="9" max="9" width="7.109375" customWidth="1"/>
    <col min="10" max="10" width="2.33203125" style="36" customWidth="1"/>
    <col min="11" max="11" width="9" customWidth="1"/>
    <col min="12" max="12" width="8.5546875" customWidth="1"/>
    <col min="13" max="13" width="4.5546875" customWidth="1"/>
    <col min="14" max="15" width="11.109375" customWidth="1"/>
    <col min="16" max="20" width="10.33203125" customWidth="1"/>
    <col min="21" max="25" width="8.88671875" customWidth="1"/>
    <col min="26" max="27" width="8.88671875" hidden="1" customWidth="1"/>
    <col min="28" max="35" width="6.88671875" hidden="1" customWidth="1"/>
  </cols>
  <sheetData>
    <row r="1" spans="2:34" ht="25.8" customHeight="1" x14ac:dyDescent="0.2">
      <c r="B1" s="257" t="s">
        <v>558</v>
      </c>
      <c r="C1" s="258"/>
      <c r="D1" s="259"/>
      <c r="E1" s="252"/>
      <c r="F1" s="253"/>
      <c r="G1" s="252"/>
      <c r="H1" s="252"/>
      <c r="I1" s="252"/>
      <c r="J1" s="258"/>
      <c r="K1" s="252" t="s">
        <v>780</v>
      </c>
      <c r="AC1" t="s">
        <v>10</v>
      </c>
      <c r="AD1" t="s">
        <v>83</v>
      </c>
      <c r="AE1" t="s">
        <v>86</v>
      </c>
      <c r="AF1" t="s">
        <v>85</v>
      </c>
      <c r="AG1" t="s">
        <v>0</v>
      </c>
      <c r="AH1" t="s">
        <v>84</v>
      </c>
    </row>
    <row r="2" spans="2:34" ht="15.6" customHeight="1" x14ac:dyDescent="0.2">
      <c r="C2" s="45" t="str">
        <f>CONCATENATE(ID!C8,"年 ",ID!C9,"組 ",ID!C10,"番")</f>
        <v>1年 5組 100番</v>
      </c>
      <c r="D2" s="32" t="s">
        <v>1</v>
      </c>
      <c r="E2" s="46" t="str">
        <f>ID!C4</f>
        <v>明治　紫紺</v>
      </c>
      <c r="F2" s="46"/>
      <c r="G2" s="2"/>
      <c r="H2">
        <f>ID!C3</f>
        <v>2015</v>
      </c>
      <c r="I2" t="s">
        <v>227</v>
      </c>
      <c r="K2" s="181" t="s">
        <v>541</v>
      </c>
      <c r="L2" s="180" t="str">
        <f>ID!C12</f>
        <v>2018.4.10</v>
      </c>
      <c r="N2" s="14" t="s">
        <v>710</v>
      </c>
      <c r="O2" s="44">
        <f>SUM(F8,F20,F28,F38,F49,F54,F186,F198,F210,F71,F92,F121)</f>
        <v>0</v>
      </c>
      <c r="P2" s="5" t="s">
        <v>553</v>
      </c>
      <c r="Q2" s="39">
        <f>SUM(I8,I20,I28,I38,I49,I54,I71,I92,I121,I186,I198,I210)</f>
        <v>0</v>
      </c>
      <c r="R2" s="6" t="str">
        <f>IF(Q2&gt;49,"制限超過","履修可")</f>
        <v>履修可</v>
      </c>
    </row>
    <row r="3" spans="2:34" ht="15.6" customHeight="1" x14ac:dyDescent="0.2">
      <c r="C3" s="45" t="str">
        <f>ID!$C$6</f>
        <v>153RXXXXX</v>
      </c>
      <c r="D3" s="8"/>
      <c r="E3" s="47" t="str">
        <f>IF(E2=0,"IDを記入すること","")</f>
        <v/>
      </c>
      <c r="F3" s="8"/>
      <c r="G3" s="8"/>
      <c r="H3" s="47" t="str">
        <f>IF(H2=0,"IDを記入すること","")</f>
        <v/>
      </c>
      <c r="I3" s="10"/>
      <c r="N3" s="28" t="s">
        <v>711</v>
      </c>
      <c r="O3" s="7">
        <f>SUM(E8,E20,E28,E38,E49,E54,E71,E92,E121,E186,E198,E210)</f>
        <v>0</v>
      </c>
      <c r="P3" s="5" t="s">
        <v>553</v>
      </c>
      <c r="Q3" s="7">
        <f>SUM(H8,H20,H28,H38,H49,H54,H71,H92,H121,H186,H198,H210)</f>
        <v>0</v>
      </c>
      <c r="AC3" s="24" t="s">
        <v>195</v>
      </c>
      <c r="AD3" s="24" t="s">
        <v>234</v>
      </c>
      <c r="AE3" s="24" t="s">
        <v>26</v>
      </c>
      <c r="AF3" s="24" t="s">
        <v>240</v>
      </c>
      <c r="AG3" s="24">
        <v>2015</v>
      </c>
      <c r="AH3" s="25" t="s">
        <v>13</v>
      </c>
    </row>
    <row r="4" spans="2:34" ht="19.2" customHeight="1" x14ac:dyDescent="0.2">
      <c r="B4" s="336" t="s">
        <v>3</v>
      </c>
      <c r="C4" s="337"/>
      <c r="D4" s="338"/>
      <c r="E4" s="319" t="s">
        <v>8</v>
      </c>
      <c r="F4" s="320"/>
      <c r="G4" s="321"/>
      <c r="H4" s="319" t="s">
        <v>223</v>
      </c>
      <c r="I4" s="321"/>
      <c r="N4" s="263" t="s">
        <v>248</v>
      </c>
      <c r="O4" s="9">
        <f>SUM(G8,G20,G28,G38,G49,G54,G71,G92,G121,G177,G186,G198,G210)</f>
        <v>0</v>
      </c>
      <c r="P4" t="s">
        <v>554</v>
      </c>
      <c r="Q4" s="9" t="e">
        <f>O4/O2*(O2+Q2)</f>
        <v>#DIV/0!</v>
      </c>
      <c r="AC4" s="24" t="s">
        <v>235</v>
      </c>
      <c r="AD4" s="24" t="s">
        <v>236</v>
      </c>
      <c r="AE4" s="24" t="s">
        <v>56</v>
      </c>
      <c r="AF4" s="24" t="s">
        <v>241</v>
      </c>
      <c r="AG4" s="24">
        <v>2016</v>
      </c>
      <c r="AH4" s="25" t="s">
        <v>57</v>
      </c>
    </row>
    <row r="5" spans="2:34" ht="22.8" customHeight="1" x14ac:dyDescent="0.2">
      <c r="B5" s="12" t="s">
        <v>4</v>
      </c>
      <c r="C5" s="14" t="s">
        <v>5</v>
      </c>
      <c r="D5" s="4" t="s">
        <v>6</v>
      </c>
      <c r="E5" s="4" t="s">
        <v>8</v>
      </c>
      <c r="F5" s="52" t="s">
        <v>251</v>
      </c>
      <c r="G5" s="13" t="s">
        <v>249</v>
      </c>
      <c r="H5" s="4" t="s">
        <v>10</v>
      </c>
      <c r="I5" s="52" t="s">
        <v>250</v>
      </c>
      <c r="K5" s="4" t="s">
        <v>224</v>
      </c>
      <c r="L5" s="12" t="s">
        <v>225</v>
      </c>
      <c r="N5" s="263" t="s">
        <v>2</v>
      </c>
      <c r="O5" s="4" t="b">
        <f>AND(K11,K23,K32,K42,K58,K75,K96,K125)</f>
        <v>0</v>
      </c>
      <c r="P5" s="5" t="s">
        <v>226</v>
      </c>
      <c r="Q5" s="4" t="b">
        <f>AND(L11,L23,L32,L42,L58,L75,L96,L125)</f>
        <v>0</v>
      </c>
      <c r="AC5" s="24"/>
      <c r="AD5" s="24" t="s">
        <v>237</v>
      </c>
      <c r="AE5" s="24"/>
      <c r="AF5" s="24" t="s">
        <v>242</v>
      </c>
      <c r="AG5" s="24">
        <v>2017</v>
      </c>
      <c r="AH5" s="25" t="s">
        <v>58</v>
      </c>
    </row>
    <row r="6" spans="2:34" ht="12" customHeight="1" x14ac:dyDescent="0.2">
      <c r="B6" s="26"/>
      <c r="C6" s="20"/>
      <c r="D6" s="172"/>
      <c r="E6" s="172"/>
      <c r="F6" s="173"/>
      <c r="G6" s="179"/>
      <c r="H6" s="172"/>
      <c r="I6" s="173"/>
      <c r="N6" s="174"/>
      <c r="O6" s="172"/>
      <c r="P6" s="53"/>
      <c r="Q6" s="172"/>
      <c r="AC6" s="24"/>
      <c r="AD6" s="24"/>
      <c r="AE6" s="24"/>
      <c r="AF6" s="24"/>
      <c r="AG6" s="24"/>
      <c r="AH6" s="25" t="s">
        <v>18</v>
      </c>
    </row>
    <row r="7" spans="2:34" x14ac:dyDescent="0.2">
      <c r="B7" s="314" t="s">
        <v>11</v>
      </c>
      <c r="C7" s="314"/>
      <c r="D7" s="314"/>
      <c r="E7" s="314"/>
      <c r="F7" s="314"/>
      <c r="G7" s="314"/>
      <c r="H7" s="314"/>
      <c r="I7" s="314"/>
      <c r="AC7" s="24"/>
      <c r="AD7" s="24" t="s">
        <v>238</v>
      </c>
      <c r="AE7" s="24"/>
      <c r="AF7" s="24" t="s">
        <v>243</v>
      </c>
      <c r="AG7" s="24">
        <v>2018</v>
      </c>
      <c r="AH7" s="25" t="s">
        <v>60</v>
      </c>
    </row>
    <row r="8" spans="2:34" x14ac:dyDescent="0.2">
      <c r="B8" s="5"/>
      <c r="C8" s="175" t="s">
        <v>547</v>
      </c>
      <c r="D8" s="4"/>
      <c r="E8" s="7">
        <f>ROWS(E9:E17)-COUNTIF(E9:E17,"=―")-COUNTIF(E9:E17,"=F")</f>
        <v>0</v>
      </c>
      <c r="F8" s="43">
        <f>SUM(F9:F17)</f>
        <v>0</v>
      </c>
      <c r="G8" s="15">
        <f>SUM(G9:G17)</f>
        <v>0</v>
      </c>
      <c r="H8" s="7">
        <f>COUNTIF(H9:H17,"R")</f>
        <v>0</v>
      </c>
      <c r="I8" s="43">
        <f>SUM(I9:I17)</f>
        <v>0</v>
      </c>
      <c r="K8" s="315" t="s">
        <v>548</v>
      </c>
      <c r="L8" s="316"/>
      <c r="N8" t="s">
        <v>712</v>
      </c>
      <c r="P8" t="s">
        <v>713</v>
      </c>
      <c r="AC8" s="24"/>
      <c r="AD8" s="24" t="s">
        <v>239</v>
      </c>
      <c r="AE8" s="24"/>
      <c r="AF8" s="24" t="s">
        <v>26</v>
      </c>
      <c r="AG8" s="24">
        <v>2019</v>
      </c>
      <c r="AH8" s="25" t="s">
        <v>61</v>
      </c>
    </row>
    <row r="9" spans="2:34" x14ac:dyDescent="0.2">
      <c r="B9" s="5"/>
      <c r="C9" s="51" t="s">
        <v>14</v>
      </c>
      <c r="D9" s="4">
        <v>2</v>
      </c>
      <c r="E9" s="16" t="s">
        <v>14</v>
      </c>
      <c r="F9" s="12">
        <f t="shared" ref="F9:F17" si="0">IF(AND(CODE(C9)&lt;&gt;8509,OR(CODE(E9)&lt;=67,CODE(E9)=83)),D9,0)</f>
        <v>0</v>
      </c>
      <c r="G9" s="12">
        <f>IF(E9="S",4,IF(E9="A",3,IF(E9="B",2,IF(E9="C",1,0))))*F9</f>
        <v>0</v>
      </c>
      <c r="H9" s="16" t="s">
        <v>14</v>
      </c>
      <c r="I9" s="12">
        <f t="shared" ref="I9:I17" si="1">IF(AND(CODE(H9)=82,F9=0),D9,0)</f>
        <v>0</v>
      </c>
      <c r="J9" s="36" t="str">
        <f t="shared" ref="J9:J12" si="2">IF(AND(F9&lt;&gt;0,H9="R"),"×","")</f>
        <v/>
      </c>
      <c r="K9" s="4" t="b">
        <f>AND(1)</f>
        <v>1</v>
      </c>
      <c r="L9" s="4" t="b">
        <f>AND(1)</f>
        <v>1</v>
      </c>
      <c r="N9" s="279" t="s">
        <v>192</v>
      </c>
      <c r="P9" t="s">
        <v>714</v>
      </c>
      <c r="AC9" s="24"/>
      <c r="AD9" s="24" t="s">
        <v>195</v>
      </c>
      <c r="AE9" s="24"/>
      <c r="AF9" s="24"/>
      <c r="AG9" s="24"/>
      <c r="AH9" s="25" t="s">
        <v>62</v>
      </c>
    </row>
    <row r="10" spans="2:34" x14ac:dyDescent="0.2">
      <c r="B10" s="5"/>
      <c r="C10" s="51" t="s">
        <v>14</v>
      </c>
      <c r="D10" s="4">
        <v>2</v>
      </c>
      <c r="E10" s="16" t="s">
        <v>14</v>
      </c>
      <c r="F10" s="12">
        <f t="shared" si="0"/>
        <v>0</v>
      </c>
      <c r="G10" s="12">
        <f t="shared" ref="G10:G17" si="3">IF(E10="S",4,IF(E10="A",3,IF(E10="B",2,IF(E10="C",1,0))))*F10</f>
        <v>0</v>
      </c>
      <c r="H10" s="16" t="s">
        <v>14</v>
      </c>
      <c r="I10" s="12">
        <f t="shared" si="1"/>
        <v>0</v>
      </c>
      <c r="J10" s="36" t="str">
        <f t="shared" si="2"/>
        <v/>
      </c>
      <c r="K10" s="323" t="s">
        <v>723</v>
      </c>
      <c r="L10" s="324"/>
      <c r="N10" s="264" t="s">
        <v>717</v>
      </c>
      <c r="P10" s="1"/>
      <c r="AC10" s="24"/>
      <c r="AD10" s="24"/>
      <c r="AF10" s="24"/>
      <c r="AG10" s="24"/>
      <c r="AH10" s="25" t="s">
        <v>63</v>
      </c>
    </row>
    <row r="11" spans="2:34" x14ac:dyDescent="0.2">
      <c r="B11" s="5"/>
      <c r="C11" s="51" t="s">
        <v>14</v>
      </c>
      <c r="D11" s="4">
        <v>2</v>
      </c>
      <c r="E11" s="16" t="s">
        <v>14</v>
      </c>
      <c r="F11" s="12">
        <f t="shared" si="0"/>
        <v>0</v>
      </c>
      <c r="G11" s="12">
        <f t="shared" si="3"/>
        <v>0</v>
      </c>
      <c r="H11" s="16" t="s">
        <v>14</v>
      </c>
      <c r="I11" s="12">
        <f t="shared" si="1"/>
        <v>0</v>
      </c>
      <c r="J11" s="36" t="str">
        <f t="shared" si="2"/>
        <v/>
      </c>
      <c r="K11" s="4" t="b">
        <f>AND(F8&gt;=8)</f>
        <v>0</v>
      </c>
      <c r="L11" s="4" t="b">
        <f>AND(I8+F8&gt;=8)</f>
        <v>0</v>
      </c>
      <c r="N11" s="264" t="s">
        <v>718</v>
      </c>
      <c r="AC11" s="24"/>
      <c r="AD11" s="24"/>
      <c r="AF11" s="24"/>
      <c r="AG11" s="24"/>
      <c r="AH11" s="25" t="s">
        <v>64</v>
      </c>
    </row>
    <row r="12" spans="2:34" x14ac:dyDescent="0.2">
      <c r="B12" s="5"/>
      <c r="C12" s="51" t="s">
        <v>14</v>
      </c>
      <c r="D12" s="4">
        <v>2</v>
      </c>
      <c r="E12" s="16" t="s">
        <v>14</v>
      </c>
      <c r="F12" s="12">
        <f t="shared" si="0"/>
        <v>0</v>
      </c>
      <c r="G12" s="12">
        <f t="shared" si="3"/>
        <v>0</v>
      </c>
      <c r="H12" s="16" t="s">
        <v>14</v>
      </c>
      <c r="I12" s="12">
        <f t="shared" si="1"/>
        <v>0</v>
      </c>
      <c r="J12" s="36" t="str">
        <f t="shared" si="2"/>
        <v/>
      </c>
      <c r="N12" s="264" t="s">
        <v>715</v>
      </c>
      <c r="AC12" s="24"/>
      <c r="AD12" s="24"/>
      <c r="AF12" s="24"/>
      <c r="AG12" s="24"/>
      <c r="AH12" s="25" t="s">
        <v>65</v>
      </c>
    </row>
    <row r="13" spans="2:34" x14ac:dyDescent="0.2">
      <c r="B13" s="5"/>
      <c r="C13" s="51" t="s">
        <v>14</v>
      </c>
      <c r="D13" s="4">
        <v>2</v>
      </c>
      <c r="E13" s="16" t="s">
        <v>14</v>
      </c>
      <c r="F13" s="12">
        <f t="shared" si="0"/>
        <v>0</v>
      </c>
      <c r="G13" s="12">
        <f t="shared" si="3"/>
        <v>0</v>
      </c>
      <c r="H13" s="16" t="s">
        <v>14</v>
      </c>
      <c r="I13" s="12">
        <f t="shared" si="1"/>
        <v>0</v>
      </c>
      <c r="J13" s="36" t="str">
        <f>IF(AND(F13&lt;&gt;0,H13="R"),"×","")</f>
        <v/>
      </c>
      <c r="K13" s="5" t="s">
        <v>706</v>
      </c>
      <c r="L13" s="262" t="str">
        <f>IF(COUNTIF(J9:J17,"×"),"重複","履修可")</f>
        <v>履修可</v>
      </c>
      <c r="N13" s="264" t="s">
        <v>716</v>
      </c>
      <c r="AC13" s="24"/>
      <c r="AD13" s="24"/>
      <c r="AF13" s="24"/>
      <c r="AG13" s="24"/>
      <c r="AH13" s="25" t="s">
        <v>66</v>
      </c>
    </row>
    <row r="14" spans="2:34" x14ac:dyDescent="0.2">
      <c r="B14" s="5"/>
      <c r="C14" s="51" t="s">
        <v>14</v>
      </c>
      <c r="D14" s="4">
        <v>2</v>
      </c>
      <c r="E14" s="16" t="s">
        <v>14</v>
      </c>
      <c r="F14" s="12">
        <f t="shared" si="0"/>
        <v>0</v>
      </c>
      <c r="G14" s="12">
        <f t="shared" si="3"/>
        <v>0</v>
      </c>
      <c r="H14" s="16" t="s">
        <v>14</v>
      </c>
      <c r="I14" s="12">
        <f t="shared" si="1"/>
        <v>0</v>
      </c>
      <c r="J14" s="36" t="str">
        <f t="shared" ref="J14:J17" si="4">IF(AND(F14&lt;&gt;0,H14="R"),"×","")</f>
        <v/>
      </c>
      <c r="AC14" s="24"/>
      <c r="AD14" s="24"/>
      <c r="AF14" s="24"/>
      <c r="AG14" s="24"/>
      <c r="AH14" s="25" t="s">
        <v>67</v>
      </c>
    </row>
    <row r="15" spans="2:34" x14ac:dyDescent="0.2">
      <c r="B15" s="5"/>
      <c r="C15" s="51" t="s">
        <v>14</v>
      </c>
      <c r="D15" s="4">
        <v>2</v>
      </c>
      <c r="E15" s="16" t="s">
        <v>14</v>
      </c>
      <c r="F15" s="12">
        <f t="shared" si="0"/>
        <v>0</v>
      </c>
      <c r="G15" s="12">
        <f t="shared" si="3"/>
        <v>0</v>
      </c>
      <c r="H15" s="16" t="s">
        <v>14</v>
      </c>
      <c r="I15" s="12">
        <f t="shared" si="1"/>
        <v>0</v>
      </c>
      <c r="J15" s="36" t="str">
        <f t="shared" si="4"/>
        <v/>
      </c>
      <c r="AC15" s="24"/>
      <c r="AD15" s="24"/>
      <c r="AE15" s="24"/>
      <c r="AF15" s="24"/>
      <c r="AG15" s="24"/>
      <c r="AH15" s="25" t="s">
        <v>68</v>
      </c>
    </row>
    <row r="16" spans="2:34" x14ac:dyDescent="0.2">
      <c r="B16" s="5"/>
      <c r="C16" s="51" t="s">
        <v>14</v>
      </c>
      <c r="D16" s="4">
        <v>2</v>
      </c>
      <c r="E16" s="16" t="s">
        <v>14</v>
      </c>
      <c r="F16" s="12">
        <f t="shared" si="0"/>
        <v>0</v>
      </c>
      <c r="G16" s="12">
        <f t="shared" si="3"/>
        <v>0</v>
      </c>
      <c r="H16" s="16" t="s">
        <v>14</v>
      </c>
      <c r="I16" s="12">
        <f t="shared" si="1"/>
        <v>0</v>
      </c>
      <c r="J16" s="36" t="str">
        <f t="shared" si="4"/>
        <v/>
      </c>
      <c r="AC16" s="24"/>
      <c r="AD16" s="24"/>
      <c r="AE16" s="24"/>
      <c r="AF16" s="24"/>
      <c r="AG16" s="24"/>
      <c r="AH16" s="25" t="s">
        <v>69</v>
      </c>
    </row>
    <row r="17" spans="2:34" x14ac:dyDescent="0.2">
      <c r="B17" s="5"/>
      <c r="C17" s="51" t="s">
        <v>14</v>
      </c>
      <c r="D17" s="4">
        <v>2</v>
      </c>
      <c r="E17" s="16" t="s">
        <v>14</v>
      </c>
      <c r="F17" s="12">
        <f t="shared" si="0"/>
        <v>0</v>
      </c>
      <c r="G17" s="12">
        <f t="shared" si="3"/>
        <v>0</v>
      </c>
      <c r="H17" s="16" t="s">
        <v>14</v>
      </c>
      <c r="I17" s="12">
        <f t="shared" si="1"/>
        <v>0</v>
      </c>
      <c r="J17" s="36" t="str">
        <f t="shared" si="4"/>
        <v/>
      </c>
      <c r="AC17" s="24"/>
      <c r="AD17" s="24"/>
      <c r="AE17" s="24"/>
      <c r="AF17" s="24"/>
      <c r="AG17" s="24"/>
      <c r="AH17" s="25" t="s">
        <v>70</v>
      </c>
    </row>
    <row r="18" spans="2:34" x14ac:dyDescent="0.2">
      <c r="C18"/>
      <c r="D18"/>
      <c r="N18" t="s">
        <v>556</v>
      </c>
      <c r="P18" s="1"/>
      <c r="Q18" s="1"/>
      <c r="R18" s="1"/>
      <c r="T18" s="36"/>
      <c r="AH18" s="25" t="s">
        <v>71</v>
      </c>
    </row>
    <row r="19" spans="2:34" x14ac:dyDescent="0.2">
      <c r="B19" s="314" t="s">
        <v>19</v>
      </c>
      <c r="C19" s="314"/>
      <c r="D19" s="314"/>
      <c r="E19" s="314"/>
      <c r="F19" s="314"/>
      <c r="G19" s="314"/>
      <c r="H19" s="314"/>
      <c r="I19" s="314"/>
      <c r="N19" s="314" t="s">
        <v>193</v>
      </c>
      <c r="O19" s="314"/>
      <c r="P19" s="6" t="s">
        <v>12</v>
      </c>
      <c r="Q19" s="182" t="s">
        <v>194</v>
      </c>
      <c r="R19" s="183" t="s">
        <v>9</v>
      </c>
      <c r="S19" s="38" t="s">
        <v>704</v>
      </c>
      <c r="T19" s="38" t="s">
        <v>703</v>
      </c>
      <c r="AC19" s="24"/>
      <c r="AD19" s="24"/>
      <c r="AE19" s="24"/>
      <c r="AF19" s="24"/>
      <c r="AG19" s="24"/>
      <c r="AH19" s="25" t="s">
        <v>72</v>
      </c>
    </row>
    <row r="20" spans="2:34" x14ac:dyDescent="0.2">
      <c r="B20" s="5"/>
      <c r="C20" s="175" t="s">
        <v>547</v>
      </c>
      <c r="D20" s="4"/>
      <c r="E20" s="7">
        <f>ROWS(E21:E24)-COUNTIF(E21:E24,"=―")-COUNTIF(E21:E24,"=F")</f>
        <v>0</v>
      </c>
      <c r="F20" s="43">
        <f>SUM(F21:F24)</f>
        <v>0</v>
      </c>
      <c r="G20" s="15">
        <f>SUM(G21:G24)</f>
        <v>0</v>
      </c>
      <c r="H20" s="7">
        <f>COUNTIF(H21:H24,"R")</f>
        <v>0</v>
      </c>
      <c r="I20" s="43">
        <f>SUM(I21:I24)</f>
        <v>0</v>
      </c>
      <c r="J20" s="36" t="str">
        <f t="shared" ref="J20:J25" si="5">IF(AND(F20&lt;&gt;0,H20="R"),"×","")</f>
        <v/>
      </c>
      <c r="K20" s="315" t="s">
        <v>221</v>
      </c>
      <c r="L20" s="316"/>
      <c r="N20" s="315" t="s">
        <v>198</v>
      </c>
      <c r="O20" s="316"/>
      <c r="P20" s="12">
        <v>8</v>
      </c>
      <c r="Q20" s="12" t="s">
        <v>195</v>
      </c>
      <c r="R20" s="290">
        <f>F8</f>
        <v>0</v>
      </c>
      <c r="S20" s="12" t="s">
        <v>195</v>
      </c>
      <c r="T20" s="4" t="b">
        <f>AND(R20&gt;=P20)</f>
        <v>0</v>
      </c>
      <c r="AC20" s="24"/>
      <c r="AD20" s="24"/>
      <c r="AE20" s="24"/>
      <c r="AF20" s="24"/>
      <c r="AG20" s="24"/>
      <c r="AH20" s="25" t="s">
        <v>73</v>
      </c>
    </row>
    <row r="21" spans="2:34" x14ac:dyDescent="0.2">
      <c r="B21" s="17" t="s">
        <v>20</v>
      </c>
      <c r="C21" s="21" t="s">
        <v>21</v>
      </c>
      <c r="D21" s="4">
        <v>1</v>
      </c>
      <c r="E21" s="16" t="s">
        <v>14</v>
      </c>
      <c r="F21" s="12">
        <f>IF(OR(CODE(E21)&lt;=67,CODE(E21)=83),D21,0)</f>
        <v>0</v>
      </c>
      <c r="G21" s="12">
        <f t="shared" ref="G21:G24" si="6">IF(E21="S",4,IF(E21="A",3,IF(E21="B",2,IF(E21="C",1,0))))*F21</f>
        <v>0</v>
      </c>
      <c r="H21" s="16" t="s">
        <v>14</v>
      </c>
      <c r="I21" s="12">
        <f>IF(AND(CODE(H21)=82,F21=0),D21,0)</f>
        <v>0</v>
      </c>
      <c r="J21" s="36" t="str">
        <f t="shared" si="5"/>
        <v/>
      </c>
      <c r="K21" s="40" t="b">
        <f>AND(F21,F22)</f>
        <v>0</v>
      </c>
      <c r="L21" s="4" t="b">
        <f>AND(OR(F21,I21),OR(F22,I22))</f>
        <v>0</v>
      </c>
      <c r="N21" s="315" t="s">
        <v>199</v>
      </c>
      <c r="O21" s="316"/>
      <c r="P21" s="12">
        <v>2</v>
      </c>
      <c r="Q21" s="12">
        <v>2</v>
      </c>
      <c r="R21" s="290">
        <f>F20</f>
        <v>0</v>
      </c>
      <c r="S21" s="4" t="b">
        <f>K23</f>
        <v>0</v>
      </c>
      <c r="T21" s="4" t="b">
        <f>AND(R21&gt;=P21)</f>
        <v>0</v>
      </c>
      <c r="AC21" s="24"/>
      <c r="AD21" s="24"/>
      <c r="AE21" s="24"/>
      <c r="AF21" s="24"/>
      <c r="AG21" s="24"/>
      <c r="AH21" s="25" t="s">
        <v>17</v>
      </c>
    </row>
    <row r="22" spans="2:34" x14ac:dyDescent="0.2">
      <c r="B22" s="17" t="s">
        <v>20</v>
      </c>
      <c r="C22" s="21" t="s">
        <v>22</v>
      </c>
      <c r="D22" s="4">
        <v>1</v>
      </c>
      <c r="E22" s="16" t="s">
        <v>14</v>
      </c>
      <c r="F22" s="12">
        <f>IF(OR(CODE(E22)&lt;=67,CODE(E22)=83),D22,0)</f>
        <v>0</v>
      </c>
      <c r="G22" s="12">
        <f t="shared" si="6"/>
        <v>0</v>
      </c>
      <c r="H22" s="16" t="s">
        <v>14</v>
      </c>
      <c r="I22" s="12">
        <f>IF(AND(CODE(H22)=82,F22=0),D22,0)</f>
        <v>0</v>
      </c>
      <c r="J22" s="36" t="str">
        <f t="shared" si="5"/>
        <v/>
      </c>
      <c r="K22" s="333" t="s">
        <v>210</v>
      </c>
      <c r="L22" s="334"/>
      <c r="N22" s="315" t="s">
        <v>200</v>
      </c>
      <c r="O22" s="316"/>
      <c r="P22" s="12">
        <v>8</v>
      </c>
      <c r="Q22" s="12">
        <v>8</v>
      </c>
      <c r="R22" s="290">
        <f>F28</f>
        <v>0</v>
      </c>
      <c r="S22" s="4" t="b">
        <f>K30</f>
        <v>0</v>
      </c>
      <c r="T22" s="4" t="b">
        <f>AND(R22&gt;=P22)</f>
        <v>0</v>
      </c>
      <c r="AC22" s="24"/>
      <c r="AD22" s="24"/>
      <c r="AE22" s="24"/>
      <c r="AF22" s="24"/>
      <c r="AG22" s="24"/>
      <c r="AH22" s="25" t="s">
        <v>74</v>
      </c>
    </row>
    <row r="23" spans="2:34" x14ac:dyDescent="0.2">
      <c r="B23" s="17"/>
      <c r="C23" s="21" t="s">
        <v>23</v>
      </c>
      <c r="D23" s="4">
        <v>1</v>
      </c>
      <c r="E23" s="16" t="s">
        <v>14</v>
      </c>
      <c r="F23" s="12">
        <f>IF(OR(CODE(E23)&lt;=67,CODE(E23)=83),D23,0)</f>
        <v>0</v>
      </c>
      <c r="G23" s="12">
        <f t="shared" si="6"/>
        <v>0</v>
      </c>
      <c r="H23" s="16" t="s">
        <v>14</v>
      </c>
      <c r="I23" s="12">
        <f>IF(AND(CODE(H23)=82,F23=0),D23,0)</f>
        <v>0</v>
      </c>
      <c r="J23" s="36" t="str">
        <f t="shared" si="5"/>
        <v/>
      </c>
      <c r="K23" s="261" t="b">
        <f>AND(F20&gt;=2)</f>
        <v>0</v>
      </c>
      <c r="L23" s="4" t="b">
        <f>AND(I20+F20&gt;=2)</f>
        <v>0</v>
      </c>
      <c r="N23" s="315" t="s">
        <v>201</v>
      </c>
      <c r="O23" s="316"/>
      <c r="P23" s="12">
        <v>6</v>
      </c>
      <c r="Q23" s="12">
        <v>6</v>
      </c>
      <c r="R23" s="290">
        <f>F38</f>
        <v>0</v>
      </c>
      <c r="S23" s="4" t="b">
        <f>K40</f>
        <v>0</v>
      </c>
      <c r="T23" s="4" t="b">
        <f>AND(R23&gt;=P23)</f>
        <v>0</v>
      </c>
      <c r="AC23" s="24"/>
      <c r="AD23" s="24"/>
      <c r="AE23" s="24"/>
      <c r="AF23" s="24"/>
      <c r="AG23" s="24"/>
      <c r="AH23" s="25" t="s">
        <v>75</v>
      </c>
    </row>
    <row r="24" spans="2:34" x14ac:dyDescent="0.2">
      <c r="B24" s="17"/>
      <c r="C24" s="21" t="s">
        <v>24</v>
      </c>
      <c r="D24" s="4">
        <v>1</v>
      </c>
      <c r="E24" s="16" t="s">
        <v>14</v>
      </c>
      <c r="F24" s="12">
        <f>IF(OR(CODE(E24)&lt;=67,CODE(E24)=83),D24,0)</f>
        <v>0</v>
      </c>
      <c r="G24" s="12">
        <f t="shared" si="6"/>
        <v>0</v>
      </c>
      <c r="H24" s="16" t="s">
        <v>14</v>
      </c>
      <c r="I24" s="12">
        <f>IF(AND(CODE(H24)=82,F24=0),D24,0)</f>
        <v>0</v>
      </c>
      <c r="J24" s="36" t="str">
        <f t="shared" si="5"/>
        <v/>
      </c>
      <c r="N24" s="315" t="s">
        <v>202</v>
      </c>
      <c r="O24" s="316"/>
      <c r="P24" s="12" t="s">
        <v>196</v>
      </c>
      <c r="Q24" s="12" t="s">
        <v>55</v>
      </c>
      <c r="R24" s="290">
        <f>MIN(F49)</f>
        <v>0</v>
      </c>
      <c r="S24" s="4" t="s">
        <v>55</v>
      </c>
      <c r="T24" s="4" t="s">
        <v>55</v>
      </c>
      <c r="AC24" s="24"/>
      <c r="AD24" s="24"/>
      <c r="AE24" s="24"/>
      <c r="AF24" s="24"/>
      <c r="AG24" s="24"/>
      <c r="AH24" s="25" t="s">
        <v>76</v>
      </c>
    </row>
    <row r="25" spans="2:34" x14ac:dyDescent="0.2">
      <c r="B25" s="17"/>
      <c r="C25" s="21"/>
      <c r="D25" s="4"/>
      <c r="E25" s="16"/>
      <c r="F25" s="12"/>
      <c r="G25" s="12"/>
      <c r="H25" s="16"/>
      <c r="I25" s="12"/>
      <c r="J25" s="36" t="str">
        <f t="shared" si="5"/>
        <v/>
      </c>
      <c r="K25" s="5" t="s">
        <v>706</v>
      </c>
      <c r="L25" s="262" t="str">
        <f>IF(COUNTIF(J21:J25,"×"),"重複","履修可")</f>
        <v>履修可</v>
      </c>
      <c r="N25" s="315" t="s">
        <v>203</v>
      </c>
      <c r="O25" s="316"/>
      <c r="P25" s="12">
        <v>16</v>
      </c>
      <c r="Q25" s="12">
        <v>16</v>
      </c>
      <c r="R25" s="290">
        <f>F71</f>
        <v>0</v>
      </c>
      <c r="S25" s="4" t="b">
        <f>K73</f>
        <v>0</v>
      </c>
      <c r="T25" s="4" t="b">
        <f>AND(R25&gt;=P25)</f>
        <v>0</v>
      </c>
      <c r="AC25" s="24"/>
      <c r="AD25" s="24"/>
      <c r="AE25" s="24"/>
      <c r="AF25" s="24"/>
      <c r="AG25" s="24"/>
      <c r="AH25" s="25" t="s">
        <v>77</v>
      </c>
    </row>
    <row r="26" spans="2:34" x14ac:dyDescent="0.2">
      <c r="C26"/>
      <c r="D26"/>
      <c r="N26" s="315" t="s">
        <v>204</v>
      </c>
      <c r="O26" s="316"/>
      <c r="P26" s="12">
        <v>14</v>
      </c>
      <c r="Q26" s="12">
        <v>14</v>
      </c>
      <c r="R26" s="290">
        <f>F92</f>
        <v>0</v>
      </c>
      <c r="S26" s="4" t="b">
        <f>K94</f>
        <v>0</v>
      </c>
      <c r="T26" s="4" t="b">
        <f>AND(R26&gt;=P26)</f>
        <v>0</v>
      </c>
      <c r="AH26" s="25" t="s">
        <v>78</v>
      </c>
    </row>
    <row r="27" spans="2:34" x14ac:dyDescent="0.2">
      <c r="B27" s="315" t="s">
        <v>25</v>
      </c>
      <c r="C27" s="335"/>
      <c r="D27" s="335"/>
      <c r="E27" s="335"/>
      <c r="F27" s="335"/>
      <c r="G27" s="335"/>
      <c r="H27" s="335"/>
      <c r="I27" s="316"/>
      <c r="N27" s="315" t="s">
        <v>205</v>
      </c>
      <c r="O27" s="316"/>
      <c r="P27" s="12">
        <v>77</v>
      </c>
      <c r="Q27" s="12">
        <v>50</v>
      </c>
      <c r="R27" s="290">
        <f>F121</f>
        <v>0</v>
      </c>
      <c r="S27" s="4" t="b">
        <f>K123</f>
        <v>0</v>
      </c>
      <c r="T27" s="4" t="b">
        <f>AND(R27&gt;=P27)</f>
        <v>0</v>
      </c>
      <c r="AC27" s="24"/>
      <c r="AD27" s="24"/>
      <c r="AE27" s="24"/>
      <c r="AF27" s="24"/>
      <c r="AG27" s="24"/>
      <c r="AH27" s="25" t="s">
        <v>16</v>
      </c>
    </row>
    <row r="28" spans="2:34" x14ac:dyDescent="0.2">
      <c r="B28" s="5"/>
      <c r="C28" s="50" t="s">
        <v>246</v>
      </c>
      <c r="D28" s="4"/>
      <c r="E28" s="7">
        <f>ROWS(E29:E36)-COUNTIF(E29:E36,"=―")-COUNTIF(E29:E36,"=F")</f>
        <v>0</v>
      </c>
      <c r="F28" s="43">
        <f>SUM(F29:F36)</f>
        <v>0</v>
      </c>
      <c r="G28" s="15">
        <f>SUM(G29:G36)</f>
        <v>0</v>
      </c>
      <c r="H28" s="7">
        <f>COUNTIF(H29:H36,"R")</f>
        <v>0</v>
      </c>
      <c r="I28" s="43">
        <f>SUM(I29:I36)</f>
        <v>0</v>
      </c>
      <c r="N28" s="315" t="s">
        <v>206</v>
      </c>
      <c r="O28" s="316"/>
      <c r="P28" s="12">
        <v>3</v>
      </c>
      <c r="Q28" s="12">
        <v>2</v>
      </c>
      <c r="R28" s="290">
        <f>F54</f>
        <v>0</v>
      </c>
      <c r="S28" s="4" t="b">
        <f>K56</f>
        <v>0</v>
      </c>
      <c r="T28" s="4" t="b">
        <f>AND(R28&gt;=P28)</f>
        <v>0</v>
      </c>
      <c r="AC28" s="24"/>
      <c r="AD28" s="24"/>
      <c r="AE28" s="24"/>
      <c r="AF28" s="24"/>
      <c r="AG28" s="24"/>
      <c r="AH28" s="25" t="s">
        <v>79</v>
      </c>
    </row>
    <row r="29" spans="2:34" x14ac:dyDescent="0.2">
      <c r="B29" s="17" t="s">
        <v>20</v>
      </c>
      <c r="C29" s="19" t="str">
        <f>IF($C$28="英語","英語コミュニケーション１","日本語1a")</f>
        <v>英語コミュニケーション１</v>
      </c>
      <c r="D29" s="4">
        <v>1</v>
      </c>
      <c r="E29" s="16" t="s">
        <v>14</v>
      </c>
      <c r="F29" s="12">
        <f t="shared" ref="F29:F36" si="7">IF(OR(CODE(E29)&lt;=67,CODE(E29)=83),D29,0)</f>
        <v>0</v>
      </c>
      <c r="G29" s="12">
        <f t="shared" ref="G29:G36" si="8">IF(E29="S",4,IF(E29="A",3,IF(E29="B",2,IF(E29="C",1,0))))*F29</f>
        <v>0</v>
      </c>
      <c r="H29" s="16" t="s">
        <v>14</v>
      </c>
      <c r="I29" s="12">
        <f t="shared" ref="I29:I36" si="9">IF(AND(CODE(H29)=82,F29=0),D29,0)</f>
        <v>0</v>
      </c>
      <c r="J29" s="36" t="str">
        <f t="shared" ref="J29:J36" si="10">IF(AND(F29&lt;&gt;0,H29="R"),"×","")</f>
        <v/>
      </c>
      <c r="K29" s="315" t="s">
        <v>220</v>
      </c>
      <c r="L29" s="316"/>
      <c r="N29" s="315" t="s">
        <v>207</v>
      </c>
      <c r="O29" s="316"/>
      <c r="P29" s="12" t="s">
        <v>55</v>
      </c>
      <c r="Q29" s="12" t="s">
        <v>55</v>
      </c>
      <c r="R29" s="290">
        <f>F181</f>
        <v>0</v>
      </c>
      <c r="S29" s="12" t="s">
        <v>55</v>
      </c>
      <c r="T29" s="4" t="s">
        <v>55</v>
      </c>
      <c r="AC29" s="24"/>
      <c r="AD29" s="24"/>
      <c r="AE29" s="24"/>
      <c r="AF29" s="24"/>
      <c r="AG29" s="24"/>
      <c r="AH29" s="25" t="s">
        <v>15</v>
      </c>
    </row>
    <row r="30" spans="2:34" x14ac:dyDescent="0.2">
      <c r="B30" s="17" t="s">
        <v>20</v>
      </c>
      <c r="C30" s="19" t="str">
        <f>IF($C$28="英語","英語コミュニケーション２","日本語1b")</f>
        <v>英語コミュニケーション２</v>
      </c>
      <c r="D30" s="4">
        <v>1</v>
      </c>
      <c r="E30" s="16" t="s">
        <v>14</v>
      </c>
      <c r="F30" s="12">
        <f t="shared" si="7"/>
        <v>0</v>
      </c>
      <c r="G30" s="12">
        <f t="shared" si="8"/>
        <v>0</v>
      </c>
      <c r="H30" s="16" t="s">
        <v>14</v>
      </c>
      <c r="I30" s="12">
        <f t="shared" si="9"/>
        <v>0</v>
      </c>
      <c r="J30" s="36" t="str">
        <f t="shared" si="10"/>
        <v/>
      </c>
      <c r="K30" s="4" t="b">
        <f>AND(F29,F30,F31,F32,F33,F34,F35,F36)</f>
        <v>0</v>
      </c>
      <c r="L30" s="4" t="b">
        <f>AND(OR(F29,I29),OR(F30,I30),OR(F31,I31),OR(F32,I32),OR(F33,I33),OR(F34,I34),OR(F35,I35),OR(F36,I36))</f>
        <v>0</v>
      </c>
      <c r="N30" s="315" t="s">
        <v>555</v>
      </c>
      <c r="O30" s="318"/>
      <c r="P30" s="12" t="s">
        <v>196</v>
      </c>
      <c r="Q30" s="12" t="s">
        <v>55</v>
      </c>
      <c r="R30" s="290">
        <f>MIN(F186,2)</f>
        <v>0</v>
      </c>
      <c r="S30" s="12" t="s">
        <v>55</v>
      </c>
      <c r="T30" s="4" t="s">
        <v>55</v>
      </c>
      <c r="AC30" s="24"/>
      <c r="AD30" s="24"/>
      <c r="AE30" s="24"/>
      <c r="AF30" s="24"/>
      <c r="AG30" s="24"/>
      <c r="AH30" s="25" t="s">
        <v>80</v>
      </c>
    </row>
    <row r="31" spans="2:34" x14ac:dyDescent="0.2">
      <c r="B31" s="17" t="s">
        <v>20</v>
      </c>
      <c r="C31" s="19" t="str">
        <f>IF($C$28="英語","英語コミュニケーション３","日本語2a")</f>
        <v>英語コミュニケーション３</v>
      </c>
      <c r="D31" s="4">
        <v>1</v>
      </c>
      <c r="E31" s="16" t="s">
        <v>14</v>
      </c>
      <c r="F31" s="12">
        <f t="shared" si="7"/>
        <v>0</v>
      </c>
      <c r="G31" s="12">
        <f t="shared" si="8"/>
        <v>0</v>
      </c>
      <c r="H31" s="16" t="s">
        <v>14</v>
      </c>
      <c r="I31" s="12">
        <f t="shared" si="9"/>
        <v>0</v>
      </c>
      <c r="J31" s="36" t="str">
        <f t="shared" si="10"/>
        <v/>
      </c>
      <c r="K31" s="333" t="s">
        <v>211</v>
      </c>
      <c r="L31" s="334"/>
      <c r="N31" s="315" t="s">
        <v>208</v>
      </c>
      <c r="O31" s="316"/>
      <c r="P31" s="310" t="s">
        <v>774</v>
      </c>
      <c r="Q31" s="12" t="s">
        <v>55</v>
      </c>
      <c r="R31" s="290">
        <f>MIN(F198,60)</f>
        <v>0</v>
      </c>
      <c r="S31" s="12" t="s">
        <v>55</v>
      </c>
      <c r="T31" s="4" t="s">
        <v>55</v>
      </c>
      <c r="AC31" s="24"/>
      <c r="AD31" s="24"/>
      <c r="AE31" s="24"/>
      <c r="AF31" s="24"/>
      <c r="AG31" s="24"/>
      <c r="AH31" s="25" t="s">
        <v>81</v>
      </c>
    </row>
    <row r="32" spans="2:34" x14ac:dyDescent="0.2">
      <c r="B32" s="17" t="s">
        <v>20</v>
      </c>
      <c r="C32" s="19" t="str">
        <f>IF($C$28="英語","英語コミュニケーション４","日本語2b")</f>
        <v>英語コミュニケーション４</v>
      </c>
      <c r="D32" s="4">
        <v>1</v>
      </c>
      <c r="E32" s="16" t="s">
        <v>14</v>
      </c>
      <c r="F32" s="12">
        <f t="shared" si="7"/>
        <v>0</v>
      </c>
      <c r="G32" s="12">
        <f t="shared" si="8"/>
        <v>0</v>
      </c>
      <c r="H32" s="16" t="s">
        <v>14</v>
      </c>
      <c r="I32" s="12">
        <f t="shared" si="9"/>
        <v>0</v>
      </c>
      <c r="J32" s="36" t="str">
        <f t="shared" si="10"/>
        <v/>
      </c>
      <c r="K32" s="4" t="b">
        <f>AND(F28&gt;=8)</f>
        <v>0</v>
      </c>
      <c r="L32" s="4" t="b">
        <f>AND((I28+F28)&gt;=8)</f>
        <v>0</v>
      </c>
      <c r="N32" s="315" t="s">
        <v>209</v>
      </c>
      <c r="O32" s="316"/>
      <c r="P32" s="310" t="s">
        <v>775</v>
      </c>
      <c r="Q32" s="12" t="s">
        <v>55</v>
      </c>
      <c r="R32" s="290">
        <f>MIN(F210,20)</f>
        <v>0</v>
      </c>
      <c r="S32" s="12" t="s">
        <v>55</v>
      </c>
      <c r="T32" s="4" t="s">
        <v>55</v>
      </c>
      <c r="AC32" s="24"/>
      <c r="AD32" s="24"/>
      <c r="AE32" s="24"/>
      <c r="AF32" s="24"/>
      <c r="AG32" s="24"/>
      <c r="AH32" s="25" t="s">
        <v>82</v>
      </c>
    </row>
    <row r="33" spans="2:34" x14ac:dyDescent="0.2">
      <c r="B33" s="17" t="s">
        <v>20</v>
      </c>
      <c r="C33" s="19" t="str">
        <f>IF($C$28="英語","英語リーディング１","日本語3a")</f>
        <v>英語リーディング１</v>
      </c>
      <c r="D33" s="4">
        <v>1</v>
      </c>
      <c r="E33" s="16" t="s">
        <v>14</v>
      </c>
      <c r="F33" s="12">
        <f t="shared" si="7"/>
        <v>0</v>
      </c>
      <c r="G33" s="12">
        <f t="shared" si="8"/>
        <v>0</v>
      </c>
      <c r="H33" s="16" t="s">
        <v>14</v>
      </c>
      <c r="I33" s="12">
        <f t="shared" si="9"/>
        <v>0</v>
      </c>
      <c r="J33" s="36" t="str">
        <f t="shared" si="10"/>
        <v/>
      </c>
      <c r="N33" s="315" t="s">
        <v>197</v>
      </c>
      <c r="O33" s="316"/>
      <c r="P33" s="290">
        <v>136</v>
      </c>
      <c r="Q33" s="290">
        <f>SUM(Q20:Q32)</f>
        <v>98</v>
      </c>
      <c r="R33" s="290">
        <f>SUM(R20:R28,R30:R32)</f>
        <v>0</v>
      </c>
      <c r="S33" s="12" t="s">
        <v>55</v>
      </c>
      <c r="T33" s="4" t="b">
        <f>AND(R33&gt;=P33)</f>
        <v>0</v>
      </c>
      <c r="AC33" s="24"/>
      <c r="AD33" s="24"/>
      <c r="AE33" s="24"/>
      <c r="AF33" s="24"/>
      <c r="AG33" s="24"/>
      <c r="AH33" s="25" t="s">
        <v>244</v>
      </c>
    </row>
    <row r="34" spans="2:34" x14ac:dyDescent="0.2">
      <c r="B34" s="17" t="s">
        <v>20</v>
      </c>
      <c r="C34" s="19" t="str">
        <f>IF($C$28="英語","英語リーディング２","日本語3b")</f>
        <v>英語リーディング２</v>
      </c>
      <c r="D34" s="4">
        <v>1</v>
      </c>
      <c r="E34" s="16" t="s">
        <v>14</v>
      </c>
      <c r="F34" s="12">
        <f t="shared" si="7"/>
        <v>0</v>
      </c>
      <c r="G34" s="12">
        <f t="shared" si="8"/>
        <v>0</v>
      </c>
      <c r="H34" s="16" t="s">
        <v>14</v>
      </c>
      <c r="I34" s="12">
        <f t="shared" si="9"/>
        <v>0</v>
      </c>
      <c r="J34" s="36" t="str">
        <f t="shared" si="10"/>
        <v/>
      </c>
      <c r="K34" s="5" t="s">
        <v>706</v>
      </c>
      <c r="L34" s="262" t="str">
        <f>IF(COUNTIF(J29:J36,"×"),"重複","履修可")</f>
        <v>履修可</v>
      </c>
      <c r="AC34" s="24"/>
      <c r="AD34" s="24"/>
      <c r="AE34" s="24"/>
      <c r="AF34" s="24"/>
      <c r="AG34" s="24"/>
      <c r="AH34" s="25" t="s">
        <v>245</v>
      </c>
    </row>
    <row r="35" spans="2:34" x14ac:dyDescent="0.2">
      <c r="B35" s="17" t="s">
        <v>20</v>
      </c>
      <c r="C35" s="19" t="str">
        <f>IF($C$28="英語","英語リーディング３","日本語4a")</f>
        <v>英語リーディング３</v>
      </c>
      <c r="D35" s="4">
        <v>1</v>
      </c>
      <c r="E35" s="16" t="s">
        <v>14</v>
      </c>
      <c r="F35" s="12">
        <f t="shared" si="7"/>
        <v>0</v>
      </c>
      <c r="G35" s="12">
        <f t="shared" si="8"/>
        <v>0</v>
      </c>
      <c r="H35" s="16" t="s">
        <v>14</v>
      </c>
      <c r="I35" s="12">
        <f t="shared" si="9"/>
        <v>0</v>
      </c>
      <c r="J35" s="36" t="str">
        <f t="shared" si="10"/>
        <v/>
      </c>
      <c r="AC35" s="24"/>
      <c r="AD35" s="24"/>
      <c r="AE35" s="24"/>
      <c r="AF35" s="24"/>
      <c r="AG35" s="24"/>
      <c r="AH35" s="25" t="s">
        <v>195</v>
      </c>
    </row>
    <row r="36" spans="2:34" x14ac:dyDescent="0.2">
      <c r="B36" s="17" t="s">
        <v>20</v>
      </c>
      <c r="C36" s="19" t="str">
        <f>IF($C$28="英語","英語リーディング４","日本語4b")</f>
        <v>英語リーディング４</v>
      </c>
      <c r="D36" s="4">
        <v>1</v>
      </c>
      <c r="E36" s="16" t="s">
        <v>14</v>
      </c>
      <c r="F36" s="12">
        <f t="shared" si="7"/>
        <v>0</v>
      </c>
      <c r="G36" s="12">
        <f t="shared" si="8"/>
        <v>0</v>
      </c>
      <c r="H36" s="16" t="s">
        <v>14</v>
      </c>
      <c r="I36" s="12">
        <f t="shared" si="9"/>
        <v>0</v>
      </c>
      <c r="J36" s="36" t="str">
        <f t="shared" si="10"/>
        <v/>
      </c>
      <c r="N36" t="s">
        <v>722</v>
      </c>
      <c r="P36" s="1"/>
      <c r="Q36" s="1"/>
      <c r="R36" s="1"/>
      <c r="T36" s="36"/>
      <c r="AC36" s="24"/>
      <c r="AD36" s="24"/>
      <c r="AE36" s="24"/>
      <c r="AF36" s="24"/>
      <c r="AG36" s="24"/>
    </row>
    <row r="37" spans="2:34" x14ac:dyDescent="0.15">
      <c r="B37" s="315" t="s">
        <v>27</v>
      </c>
      <c r="C37" s="335"/>
      <c r="D37" s="335"/>
      <c r="E37" s="335"/>
      <c r="F37" s="335"/>
      <c r="G37" s="335"/>
      <c r="H37" s="335"/>
      <c r="I37" s="316"/>
      <c r="N37" s="314" t="s">
        <v>193</v>
      </c>
      <c r="O37" s="314"/>
      <c r="P37" s="201" t="s">
        <v>12</v>
      </c>
      <c r="Q37" s="182" t="s">
        <v>194</v>
      </c>
      <c r="R37" s="280" t="s">
        <v>721</v>
      </c>
      <c r="S37" s="280" t="s">
        <v>719</v>
      </c>
      <c r="T37" s="280" t="s">
        <v>720</v>
      </c>
      <c r="AC37" s="24"/>
      <c r="AD37" s="24"/>
      <c r="AE37" s="24"/>
      <c r="AF37" s="24"/>
      <c r="AG37" s="24"/>
      <c r="AH37" s="25"/>
    </row>
    <row r="38" spans="2:34" x14ac:dyDescent="0.2">
      <c r="B38" s="5"/>
      <c r="C38" s="50" t="s">
        <v>247</v>
      </c>
      <c r="D38" s="4"/>
      <c r="E38" s="7">
        <f>ROWS(E39:E46)-COUNTIF(E39:E46,"=―")-COUNTIF(E39:E46,"=F")</f>
        <v>0</v>
      </c>
      <c r="F38" s="43">
        <f>SUM(F39:F46)</f>
        <v>0</v>
      </c>
      <c r="G38" s="15">
        <f>SUM(G39:G44)</f>
        <v>0</v>
      </c>
      <c r="H38" s="7">
        <f>COUNTIF(H39:H46,"R")</f>
        <v>0</v>
      </c>
      <c r="I38" s="43">
        <f>SUM(I39:I46)</f>
        <v>0</v>
      </c>
      <c r="N38" s="315" t="s">
        <v>198</v>
      </c>
      <c r="O38" s="316"/>
      <c r="P38" s="262">
        <v>8</v>
      </c>
      <c r="Q38" s="262" t="s">
        <v>195</v>
      </c>
      <c r="R38" s="281">
        <f>F8+I8</f>
        <v>0</v>
      </c>
      <c r="S38" s="262" t="s">
        <v>195</v>
      </c>
      <c r="T38" s="261" t="b">
        <f>AND(R38&gt;=P38)</f>
        <v>0</v>
      </c>
      <c r="AC38" s="24"/>
      <c r="AD38" s="24"/>
      <c r="AE38" s="24"/>
      <c r="AF38" s="24"/>
      <c r="AG38" s="24"/>
    </row>
    <row r="39" spans="2:34" x14ac:dyDescent="0.2">
      <c r="B39" s="17" t="s">
        <v>20</v>
      </c>
      <c r="C39" s="19" t="str">
        <f>IF($C$38="英語","英語コミュニケーション１",CONCATENATE($C$38,"１ａ"))</f>
        <v>ドイツ語１ａ</v>
      </c>
      <c r="D39" s="4">
        <v>1</v>
      </c>
      <c r="E39" s="16" t="s">
        <v>14</v>
      </c>
      <c r="F39" s="12">
        <f t="shared" ref="F39:F46" si="11">IF(OR(CODE(E39)&lt;=67,CODE(E39)=83),D39,0)</f>
        <v>0</v>
      </c>
      <c r="G39" s="12">
        <f t="shared" ref="G39:G46" si="12">IF(E39="S",4,IF(E39="A",3,IF(E39="B",2,IF(E39="C",1,0))))*F39</f>
        <v>0</v>
      </c>
      <c r="H39" s="16" t="s">
        <v>14</v>
      </c>
      <c r="I39" s="12">
        <f t="shared" ref="I39:I46" si="13">IF(AND(CODE(H39)=82,F39=0),D39,0)</f>
        <v>0</v>
      </c>
      <c r="J39" s="36" t="str">
        <f t="shared" ref="J39:J46" si="14">IF(AND(F39&lt;&gt;0,H39="R"),"×","")</f>
        <v/>
      </c>
      <c r="K39" s="315" t="s">
        <v>219</v>
      </c>
      <c r="L39" s="316"/>
      <c r="N39" s="315" t="s">
        <v>199</v>
      </c>
      <c r="O39" s="316"/>
      <c r="P39" s="262">
        <v>2</v>
      </c>
      <c r="Q39" s="262">
        <v>2</v>
      </c>
      <c r="R39" s="281">
        <f>F20+I20</f>
        <v>0</v>
      </c>
      <c r="S39" s="261" t="b">
        <f>L21</f>
        <v>0</v>
      </c>
      <c r="T39" s="261" t="b">
        <f>AND(R39&gt;=P39)</f>
        <v>0</v>
      </c>
      <c r="AC39" s="24"/>
      <c r="AD39" s="24"/>
      <c r="AE39" s="24"/>
      <c r="AF39" s="24"/>
      <c r="AG39" s="24"/>
    </row>
    <row r="40" spans="2:34" x14ac:dyDescent="0.2">
      <c r="B40" s="17" t="s">
        <v>20</v>
      </c>
      <c r="C40" s="19" t="str">
        <f>IF($C$38="英語","英語リーディング１",CONCATENATE($C$38,"１ｂ"))</f>
        <v>ドイツ語１ｂ</v>
      </c>
      <c r="D40" s="4">
        <v>1</v>
      </c>
      <c r="E40" s="16" t="s">
        <v>14</v>
      </c>
      <c r="F40" s="12">
        <f t="shared" si="11"/>
        <v>0</v>
      </c>
      <c r="G40" s="12">
        <f t="shared" si="12"/>
        <v>0</v>
      </c>
      <c r="H40" s="16" t="s">
        <v>14</v>
      </c>
      <c r="I40" s="12">
        <f t="shared" si="13"/>
        <v>0</v>
      </c>
      <c r="J40" s="36" t="str">
        <f t="shared" si="14"/>
        <v/>
      </c>
      <c r="K40" s="4" t="b">
        <f>AND(F39,F40,F41,F42,F43,F44)</f>
        <v>0</v>
      </c>
      <c r="L40" s="4" t="b">
        <f>AND(OR(F39,I39),OR(F40,I40),OR(F41,I41),OR(F42,I42),OR(F43,I43),OR(F44,I44))</f>
        <v>0</v>
      </c>
      <c r="N40" s="315" t="s">
        <v>200</v>
      </c>
      <c r="O40" s="316"/>
      <c r="P40" s="262">
        <v>8</v>
      </c>
      <c r="Q40" s="262">
        <v>8</v>
      </c>
      <c r="R40" s="281">
        <f>F28+I28</f>
        <v>0</v>
      </c>
      <c r="S40" s="261" t="b">
        <f>L30</f>
        <v>0</v>
      </c>
      <c r="T40" s="261" t="b">
        <f>AND(R40&gt;=P40)</f>
        <v>0</v>
      </c>
      <c r="AC40" s="24"/>
      <c r="AD40" s="24"/>
      <c r="AE40" s="24"/>
      <c r="AF40" s="24"/>
      <c r="AG40" s="24"/>
    </row>
    <row r="41" spans="2:34" x14ac:dyDescent="0.2">
      <c r="B41" s="17" t="s">
        <v>20</v>
      </c>
      <c r="C41" s="19" t="str">
        <f>IF($C$38="英語","英語コミュニケーション２",CONCATENATE($C$38,"２ａ"))</f>
        <v>ドイツ語２ａ</v>
      </c>
      <c r="D41" s="4">
        <v>1</v>
      </c>
      <c r="E41" s="16" t="s">
        <v>14</v>
      </c>
      <c r="F41" s="12">
        <f t="shared" si="11"/>
        <v>0</v>
      </c>
      <c r="G41" s="12">
        <f t="shared" si="12"/>
        <v>0</v>
      </c>
      <c r="H41" s="16" t="s">
        <v>14</v>
      </c>
      <c r="I41" s="12">
        <f t="shared" si="13"/>
        <v>0</v>
      </c>
      <c r="J41" s="36" t="str">
        <f t="shared" si="14"/>
        <v/>
      </c>
      <c r="K41" s="333" t="s">
        <v>212</v>
      </c>
      <c r="L41" s="334"/>
      <c r="N41" s="315" t="s">
        <v>201</v>
      </c>
      <c r="O41" s="316"/>
      <c r="P41" s="262">
        <v>6</v>
      </c>
      <c r="Q41" s="262">
        <v>6</v>
      </c>
      <c r="R41" s="281">
        <f>F38+I38</f>
        <v>0</v>
      </c>
      <c r="S41" s="261" t="b">
        <f>L40</f>
        <v>0</v>
      </c>
      <c r="T41" s="261" t="b">
        <f>AND(R41&gt;=P41)</f>
        <v>0</v>
      </c>
    </row>
    <row r="42" spans="2:34" x14ac:dyDescent="0.2">
      <c r="B42" s="17" t="s">
        <v>20</v>
      </c>
      <c r="C42" s="19" t="str">
        <f>IF($C$38="英語","英語リーディング２",CONCATENATE($C$38,"２ｂ"))</f>
        <v>ドイツ語２ｂ</v>
      </c>
      <c r="D42" s="4">
        <v>1</v>
      </c>
      <c r="E42" s="16" t="s">
        <v>14</v>
      </c>
      <c r="F42" s="12">
        <f t="shared" si="11"/>
        <v>0</v>
      </c>
      <c r="G42" s="12">
        <f t="shared" si="12"/>
        <v>0</v>
      </c>
      <c r="H42" s="16" t="s">
        <v>14</v>
      </c>
      <c r="I42" s="12">
        <f t="shared" si="13"/>
        <v>0</v>
      </c>
      <c r="J42" s="36" t="str">
        <f t="shared" si="14"/>
        <v/>
      </c>
      <c r="K42" s="4" t="b">
        <f>AND(F38&gt;=6)</f>
        <v>0</v>
      </c>
      <c r="L42" s="4" t="b">
        <f>AND((I38+F38)&gt;=6)</f>
        <v>0</v>
      </c>
      <c r="N42" s="315" t="s">
        <v>202</v>
      </c>
      <c r="O42" s="316"/>
      <c r="P42" s="262" t="s">
        <v>196</v>
      </c>
      <c r="Q42" s="262" t="s">
        <v>55</v>
      </c>
      <c r="R42" s="282">
        <f>MIN(F49+I49,2)</f>
        <v>0</v>
      </c>
      <c r="S42" s="261" t="s">
        <v>55</v>
      </c>
      <c r="T42" s="261" t="s">
        <v>55</v>
      </c>
    </row>
    <row r="43" spans="2:34" x14ac:dyDescent="0.2">
      <c r="B43" s="17" t="str">
        <f>IF($C$38="英語","△","○")</f>
        <v>○</v>
      </c>
      <c r="C43" s="19" t="str">
        <f>IF($C$38="英語","英語コミュニケーション３",CONCATENATE($C$38,"3"))</f>
        <v>ドイツ語3</v>
      </c>
      <c r="D43" s="4">
        <v>1</v>
      </c>
      <c r="E43" s="16" t="s">
        <v>14</v>
      </c>
      <c r="F43" s="12">
        <f t="shared" si="11"/>
        <v>0</v>
      </c>
      <c r="G43" s="12">
        <f t="shared" si="12"/>
        <v>0</v>
      </c>
      <c r="H43" s="16" t="s">
        <v>14</v>
      </c>
      <c r="I43" s="12">
        <f t="shared" si="13"/>
        <v>0</v>
      </c>
      <c r="J43" s="36" t="str">
        <f t="shared" si="14"/>
        <v/>
      </c>
      <c r="N43" s="315" t="s">
        <v>203</v>
      </c>
      <c r="O43" s="316"/>
      <c r="P43" s="262">
        <v>16</v>
      </c>
      <c r="Q43" s="262">
        <v>16</v>
      </c>
      <c r="R43" s="281">
        <f>F71+H71</f>
        <v>0</v>
      </c>
      <c r="S43" s="261" t="b">
        <f>L73</f>
        <v>0</v>
      </c>
      <c r="T43" s="261" t="b">
        <f>AND(R43&gt;=P43)</f>
        <v>0</v>
      </c>
    </row>
    <row r="44" spans="2:34" x14ac:dyDescent="0.2">
      <c r="B44" s="17" t="str">
        <f>IF($C$38="英語","△","○")</f>
        <v>○</v>
      </c>
      <c r="C44" s="19" t="str">
        <f>IF($C$38="英語","英語リーディング３",CONCATENATE($C$38,"4"))</f>
        <v>ドイツ語4</v>
      </c>
      <c r="D44" s="4">
        <v>1</v>
      </c>
      <c r="E44" s="16" t="s">
        <v>14</v>
      </c>
      <c r="F44" s="12">
        <f t="shared" si="11"/>
        <v>0</v>
      </c>
      <c r="G44" s="12">
        <f t="shared" si="12"/>
        <v>0</v>
      </c>
      <c r="H44" s="16" t="s">
        <v>14</v>
      </c>
      <c r="I44" s="12">
        <f t="shared" si="13"/>
        <v>0</v>
      </c>
      <c r="J44" s="36" t="str">
        <f t="shared" si="14"/>
        <v/>
      </c>
      <c r="K44" s="5" t="s">
        <v>706</v>
      </c>
      <c r="L44" s="262" t="str">
        <f>IF(COUNTIF(J39:J46,"×"),"重複","履修可")</f>
        <v>履修可</v>
      </c>
      <c r="N44" s="315" t="s">
        <v>204</v>
      </c>
      <c r="O44" s="316"/>
      <c r="P44" s="262">
        <v>14</v>
      </c>
      <c r="Q44" s="262">
        <v>14</v>
      </c>
      <c r="R44" s="281">
        <f>F92+I92</f>
        <v>0</v>
      </c>
      <c r="S44" s="261" t="b">
        <f>L94</f>
        <v>0</v>
      </c>
      <c r="T44" s="261" t="b">
        <f>AND(R44&gt;=P44)</f>
        <v>0</v>
      </c>
    </row>
    <row r="45" spans="2:34" x14ac:dyDescent="0.2">
      <c r="B45" s="17" t="str">
        <f>IF($C$38="英語","△","")</f>
        <v/>
      </c>
      <c r="C45" s="19" t="str">
        <f>IF($C$38="英語","英語コミュニケーション４","")</f>
        <v/>
      </c>
      <c r="D45" s="4">
        <v>1</v>
      </c>
      <c r="E45" s="16" t="s">
        <v>14</v>
      </c>
      <c r="F45" s="12">
        <f t="shared" si="11"/>
        <v>0</v>
      </c>
      <c r="G45" s="12">
        <f t="shared" si="12"/>
        <v>0</v>
      </c>
      <c r="H45" s="16" t="s">
        <v>14</v>
      </c>
      <c r="I45" s="12">
        <f t="shared" si="13"/>
        <v>0</v>
      </c>
      <c r="J45" s="36" t="str">
        <f t="shared" si="14"/>
        <v/>
      </c>
      <c r="N45" s="315" t="s">
        <v>205</v>
      </c>
      <c r="O45" s="316"/>
      <c r="P45" s="262">
        <v>77</v>
      </c>
      <c r="Q45" s="262">
        <v>50</v>
      </c>
      <c r="R45" s="281">
        <f>F121+I121</f>
        <v>0</v>
      </c>
      <c r="S45" s="261" t="b">
        <f>L123</f>
        <v>0</v>
      </c>
      <c r="T45" s="261" t="b">
        <f>AND(R45&gt;=P45)</f>
        <v>0</v>
      </c>
    </row>
    <row r="46" spans="2:34" x14ac:dyDescent="0.2">
      <c r="B46" s="17" t="str">
        <f>IF($C$38="英語","△","")</f>
        <v/>
      </c>
      <c r="C46" s="19" t="str">
        <f>IF($C$38="英語","英語リーディング４","")</f>
        <v/>
      </c>
      <c r="D46" s="4">
        <v>1</v>
      </c>
      <c r="E46" s="16" t="s">
        <v>14</v>
      </c>
      <c r="F46" s="12">
        <f t="shared" si="11"/>
        <v>0</v>
      </c>
      <c r="G46" s="12">
        <f t="shared" si="12"/>
        <v>0</v>
      </c>
      <c r="H46" s="16" t="s">
        <v>14</v>
      </c>
      <c r="I46" s="12">
        <f t="shared" si="13"/>
        <v>0</v>
      </c>
      <c r="J46" s="36" t="str">
        <f t="shared" si="14"/>
        <v/>
      </c>
      <c r="N46" s="315" t="s">
        <v>206</v>
      </c>
      <c r="O46" s="316"/>
      <c r="P46" s="262">
        <v>3</v>
      </c>
      <c r="Q46" s="262">
        <v>2</v>
      </c>
      <c r="R46" s="281">
        <f>F54+I54</f>
        <v>0</v>
      </c>
      <c r="S46" s="261" t="b">
        <f>L56</f>
        <v>0</v>
      </c>
      <c r="T46" s="261" t="b">
        <f>AND(R46&gt;=P46)</f>
        <v>0</v>
      </c>
    </row>
    <row r="47" spans="2:34" x14ac:dyDescent="0.2">
      <c r="C47"/>
      <c r="D47"/>
      <c r="N47" s="315" t="s">
        <v>207</v>
      </c>
      <c r="O47" s="316"/>
      <c r="P47" s="262" t="s">
        <v>55</v>
      </c>
      <c r="Q47" s="262" t="s">
        <v>55</v>
      </c>
      <c r="R47" s="281">
        <f>F177+I177</f>
        <v>0</v>
      </c>
      <c r="S47" s="262" t="s">
        <v>55</v>
      </c>
      <c r="T47" s="261" t="s">
        <v>55</v>
      </c>
    </row>
    <row r="48" spans="2:34" x14ac:dyDescent="0.2">
      <c r="B48" s="327" t="s">
        <v>28</v>
      </c>
      <c r="C48" s="327"/>
      <c r="D48" s="327"/>
      <c r="E48" s="327"/>
      <c r="F48" s="327"/>
      <c r="G48" s="327"/>
      <c r="H48" s="327"/>
      <c r="I48" s="327"/>
      <c r="K48" s="323" t="s">
        <v>550</v>
      </c>
      <c r="L48" s="324"/>
      <c r="N48" s="315" t="s">
        <v>555</v>
      </c>
      <c r="O48" s="318"/>
      <c r="P48" s="262" t="s">
        <v>196</v>
      </c>
      <c r="Q48" s="262" t="s">
        <v>55</v>
      </c>
      <c r="R48" s="281">
        <f>MIN(F186+I186,2)</f>
        <v>0</v>
      </c>
      <c r="S48" s="262" t="s">
        <v>55</v>
      </c>
      <c r="T48" s="261" t="s">
        <v>55</v>
      </c>
    </row>
    <row r="49" spans="2:20" x14ac:dyDescent="0.2">
      <c r="B49" s="21"/>
      <c r="C49" s="175" t="s">
        <v>547</v>
      </c>
      <c r="D49" s="4" t="s">
        <v>222</v>
      </c>
      <c r="E49" s="7">
        <f>ROWS(E50:E51)-COUNTIF(E50:E51,"=―")-COUNTIF(E50:E51,"=F")</f>
        <v>0</v>
      </c>
      <c r="F49" s="43">
        <f>SUM(F50:F51)</f>
        <v>0</v>
      </c>
      <c r="G49" s="15">
        <f>IF(SUM(G50:G51)&gt;2,2,SUM(G50:G51))</f>
        <v>0</v>
      </c>
      <c r="H49" s="7">
        <f>COUNTIF(H50:H51,"R")</f>
        <v>0</v>
      </c>
      <c r="I49" s="43">
        <f>SUM(I50:I51)</f>
        <v>0</v>
      </c>
      <c r="K49" s="4" t="b">
        <f>AND(1)</f>
        <v>1</v>
      </c>
      <c r="L49" s="4" t="b">
        <f>AND(1)</f>
        <v>1</v>
      </c>
      <c r="N49" s="315" t="s">
        <v>208</v>
      </c>
      <c r="O49" s="316"/>
      <c r="P49" s="262" t="s">
        <v>774</v>
      </c>
      <c r="Q49" s="262" t="s">
        <v>55</v>
      </c>
      <c r="R49" s="281">
        <f>MIN(F198+I198,60)</f>
        <v>0</v>
      </c>
      <c r="S49" s="262" t="s">
        <v>55</v>
      </c>
      <c r="T49" s="261" t="s">
        <v>55</v>
      </c>
    </row>
    <row r="50" spans="2:20" x14ac:dyDescent="0.2">
      <c r="B50" s="5"/>
      <c r="C50" s="51"/>
      <c r="D50" s="4">
        <v>2</v>
      </c>
      <c r="E50" s="16" t="s">
        <v>14</v>
      </c>
      <c r="F50" s="12">
        <f>IF(OR(CODE(E50)&lt;=67,CODE(E50)=83),D50,0)</f>
        <v>0</v>
      </c>
      <c r="G50" s="12">
        <f t="shared" ref="G50:G51" si="15">IF(E50="S",4,IF(E50="A",3,IF(E50="B",2,IF(E50="C",1,0))))*F50</f>
        <v>0</v>
      </c>
      <c r="H50" s="16" t="s">
        <v>14</v>
      </c>
      <c r="I50" s="12">
        <f>IF(AND(CODE(H50)=82,F50=0),D50,0)</f>
        <v>0</v>
      </c>
      <c r="J50" s="36" t="str">
        <f t="shared" ref="J50:J51" si="16">IF(AND(F50&lt;&gt;0,H50="R"),"×","")</f>
        <v/>
      </c>
      <c r="K50" s="323" t="s">
        <v>549</v>
      </c>
      <c r="L50" s="324"/>
      <c r="N50" s="315" t="s">
        <v>209</v>
      </c>
      <c r="O50" s="316"/>
      <c r="P50" s="262" t="s">
        <v>775</v>
      </c>
      <c r="Q50" s="262" t="s">
        <v>55</v>
      </c>
      <c r="R50" s="281">
        <f>MIN(F210+I210,20)</f>
        <v>0</v>
      </c>
      <c r="S50" s="262" t="s">
        <v>55</v>
      </c>
      <c r="T50" s="261" t="s">
        <v>55</v>
      </c>
    </row>
    <row r="51" spans="2:20" x14ac:dyDescent="0.2">
      <c r="B51" s="5"/>
      <c r="C51" s="51"/>
      <c r="D51" s="4">
        <v>2</v>
      </c>
      <c r="E51" s="16" t="s">
        <v>14</v>
      </c>
      <c r="F51" s="12">
        <f>IF(OR(CODE(E51)&lt;=67,CODE(E51)=83),D51,0)</f>
        <v>0</v>
      </c>
      <c r="G51" s="12">
        <f t="shared" si="15"/>
        <v>0</v>
      </c>
      <c r="H51" s="16" t="s">
        <v>14</v>
      </c>
      <c r="I51" s="12">
        <f>IF(AND(CODE(H51)=82,F51=0),D51,0)</f>
        <v>0</v>
      </c>
      <c r="J51" s="36" t="str">
        <f t="shared" si="16"/>
        <v/>
      </c>
      <c r="K51" s="4" t="b">
        <f>AND(1)</f>
        <v>1</v>
      </c>
      <c r="L51" s="4" t="b">
        <f>AND(1)</f>
        <v>1</v>
      </c>
      <c r="N51" s="315" t="s">
        <v>197</v>
      </c>
      <c r="O51" s="316"/>
      <c r="P51" s="290">
        <v>136</v>
      </c>
      <c r="Q51" s="290">
        <f>SUM(Q38:Q50)</f>
        <v>98</v>
      </c>
      <c r="R51" s="283">
        <f>SUM(R38:R46,R48:R50)</f>
        <v>0</v>
      </c>
      <c r="S51" s="262" t="s">
        <v>55</v>
      </c>
      <c r="T51" s="261" t="b">
        <f>AND(R51&gt;=P51)</f>
        <v>0</v>
      </c>
    </row>
    <row r="52" spans="2:20" x14ac:dyDescent="0.2">
      <c r="C52"/>
      <c r="D52"/>
      <c r="K52" s="5" t="s">
        <v>706</v>
      </c>
      <c r="L52" s="262" t="str">
        <f>IF(COUNTIF(J50:J51,"×"),"重複","履修可")</f>
        <v>履修可</v>
      </c>
    </row>
    <row r="53" spans="2:20" x14ac:dyDescent="0.2">
      <c r="B53" s="332" t="s">
        <v>29</v>
      </c>
      <c r="C53" s="332"/>
      <c r="D53" s="332"/>
      <c r="E53" s="332"/>
      <c r="F53" s="332"/>
      <c r="G53" s="332"/>
      <c r="H53" s="332"/>
      <c r="I53" s="332"/>
    </row>
    <row r="54" spans="2:20" x14ac:dyDescent="0.2">
      <c r="B54" s="22"/>
      <c r="C54" s="175" t="s">
        <v>547</v>
      </c>
      <c r="D54" s="4" t="s">
        <v>222</v>
      </c>
      <c r="E54" s="7">
        <f>ROWS(E55:E68)-COUNTIF(E55:E68,"=―")-COUNTIF(E55:E68,"=F")</f>
        <v>0</v>
      </c>
      <c r="F54" s="43">
        <f>SUM(F55:F68)</f>
        <v>0</v>
      </c>
      <c r="G54" s="15">
        <f>SUM(G55:G68)</f>
        <v>0</v>
      </c>
      <c r="H54" s="7">
        <f>COUNTIF(H55:H183,"R")</f>
        <v>0</v>
      </c>
      <c r="I54" s="43">
        <f>SUM(I55:I68)</f>
        <v>0</v>
      </c>
    </row>
    <row r="55" spans="2:20" x14ac:dyDescent="0.2">
      <c r="B55" s="17"/>
      <c r="C55" s="19" t="s">
        <v>30</v>
      </c>
      <c r="D55" s="33">
        <v>2</v>
      </c>
      <c r="E55" s="16" t="s">
        <v>14</v>
      </c>
      <c r="F55" s="12">
        <f t="shared" ref="F55:F68" si="17">IF(OR(CODE(E55)&lt;=67,CODE(E55)=83),D55,0)</f>
        <v>0</v>
      </c>
      <c r="G55" s="12">
        <f t="shared" ref="G55:G68" si="18">IF(E55="S",4,IF(E55="A",3,IF(E55="B",2,IF(E55="C",1,0))))*F55</f>
        <v>0</v>
      </c>
      <c r="H55" s="16" t="s">
        <v>14</v>
      </c>
      <c r="I55" s="12">
        <f t="shared" ref="I55:I68" si="19">IF(AND(CODE(H55)=82,F55=0),D55,0)</f>
        <v>0</v>
      </c>
      <c r="J55" s="36" t="str">
        <f t="shared" ref="J55:J68" si="20">IF(AND(F55&lt;&gt;0,H55="R"),"×","")</f>
        <v/>
      </c>
      <c r="K55" s="315" t="s">
        <v>218</v>
      </c>
      <c r="L55" s="316"/>
    </row>
    <row r="56" spans="2:20" x14ac:dyDescent="0.2">
      <c r="B56" s="17"/>
      <c r="C56" s="19" t="s">
        <v>31</v>
      </c>
      <c r="D56" s="33">
        <v>2</v>
      </c>
      <c r="E56" s="16" t="s">
        <v>14</v>
      </c>
      <c r="F56" s="12">
        <f t="shared" si="17"/>
        <v>0</v>
      </c>
      <c r="G56" s="12">
        <f t="shared" si="18"/>
        <v>0</v>
      </c>
      <c r="H56" s="16" t="s">
        <v>14</v>
      </c>
      <c r="I56" s="12">
        <f t="shared" si="19"/>
        <v>0</v>
      </c>
      <c r="J56" s="36" t="str">
        <f t="shared" si="20"/>
        <v/>
      </c>
      <c r="K56" s="4" t="b">
        <f>AND(F62)</f>
        <v>0</v>
      </c>
      <c r="L56" s="4" t="b">
        <f>AND(OR(F62,I62))</f>
        <v>0</v>
      </c>
    </row>
    <row r="57" spans="2:20" x14ac:dyDescent="0.2">
      <c r="B57" s="17"/>
      <c r="C57" s="19" t="s">
        <v>32</v>
      </c>
      <c r="D57" s="33">
        <v>2</v>
      </c>
      <c r="E57" s="16" t="s">
        <v>14</v>
      </c>
      <c r="F57" s="12">
        <f t="shared" si="17"/>
        <v>0</v>
      </c>
      <c r="G57" s="12">
        <f t="shared" si="18"/>
        <v>0</v>
      </c>
      <c r="H57" s="16" t="s">
        <v>14</v>
      </c>
      <c r="I57" s="12">
        <f t="shared" si="19"/>
        <v>0</v>
      </c>
      <c r="J57" s="36" t="str">
        <f t="shared" si="20"/>
        <v/>
      </c>
      <c r="K57" s="323" t="s">
        <v>705</v>
      </c>
      <c r="L57" s="324"/>
    </row>
    <row r="58" spans="2:20" x14ac:dyDescent="0.2">
      <c r="B58" s="17"/>
      <c r="C58" s="19" t="s">
        <v>33</v>
      </c>
      <c r="D58" s="33">
        <v>2</v>
      </c>
      <c r="E58" s="16" t="s">
        <v>14</v>
      </c>
      <c r="F58" s="12">
        <f t="shared" si="17"/>
        <v>0</v>
      </c>
      <c r="G58" s="12">
        <f t="shared" si="18"/>
        <v>0</v>
      </c>
      <c r="H58" s="16" t="s">
        <v>14</v>
      </c>
      <c r="I58" s="12">
        <f t="shared" si="19"/>
        <v>0</v>
      </c>
      <c r="J58" s="36" t="str">
        <f t="shared" si="20"/>
        <v/>
      </c>
      <c r="K58" s="4" t="b">
        <f>AND(F54&gt;=3)</f>
        <v>0</v>
      </c>
      <c r="L58" s="4" t="b">
        <f>AND((I54+F54)&gt;=3)</f>
        <v>0</v>
      </c>
    </row>
    <row r="59" spans="2:20" x14ac:dyDescent="0.2">
      <c r="B59" s="17"/>
      <c r="C59" s="19" t="s">
        <v>34</v>
      </c>
      <c r="D59" s="33">
        <v>2</v>
      </c>
      <c r="E59" s="16" t="s">
        <v>14</v>
      </c>
      <c r="F59" s="12">
        <f t="shared" si="17"/>
        <v>0</v>
      </c>
      <c r="G59" s="12">
        <f t="shared" si="18"/>
        <v>0</v>
      </c>
      <c r="H59" s="16" t="s">
        <v>14</v>
      </c>
      <c r="I59" s="12">
        <f t="shared" si="19"/>
        <v>0</v>
      </c>
      <c r="J59" s="36" t="str">
        <f t="shared" si="20"/>
        <v/>
      </c>
    </row>
    <row r="60" spans="2:20" x14ac:dyDescent="0.2">
      <c r="B60" s="17"/>
      <c r="C60" s="19" t="s">
        <v>35</v>
      </c>
      <c r="D60" s="33">
        <v>2</v>
      </c>
      <c r="E60" s="16" t="s">
        <v>14</v>
      </c>
      <c r="F60" s="12">
        <f t="shared" si="17"/>
        <v>0</v>
      </c>
      <c r="G60" s="12">
        <f t="shared" si="18"/>
        <v>0</v>
      </c>
      <c r="H60" s="16" t="s">
        <v>14</v>
      </c>
      <c r="I60" s="12">
        <f t="shared" si="19"/>
        <v>0</v>
      </c>
      <c r="J60" s="36" t="str">
        <f t="shared" si="20"/>
        <v/>
      </c>
      <c r="K60" s="5" t="s">
        <v>706</v>
      </c>
      <c r="L60" s="262" t="str">
        <f>IF(COUNTIF(J55:J68,"×"),"重複","履修可")</f>
        <v>履修可</v>
      </c>
    </row>
    <row r="61" spans="2:20" x14ac:dyDescent="0.2">
      <c r="B61" s="17"/>
      <c r="C61" s="19" t="s">
        <v>36</v>
      </c>
      <c r="D61" s="33">
        <v>2</v>
      </c>
      <c r="E61" s="16" t="s">
        <v>14</v>
      </c>
      <c r="F61" s="12">
        <f t="shared" si="17"/>
        <v>0</v>
      </c>
      <c r="G61" s="12">
        <f t="shared" si="18"/>
        <v>0</v>
      </c>
      <c r="H61" s="16" t="s">
        <v>14</v>
      </c>
      <c r="I61" s="12">
        <f t="shared" si="19"/>
        <v>0</v>
      </c>
      <c r="J61" s="36" t="str">
        <f t="shared" si="20"/>
        <v/>
      </c>
    </row>
    <row r="62" spans="2:20" x14ac:dyDescent="0.2">
      <c r="B62" s="17" t="s">
        <v>20</v>
      </c>
      <c r="C62" s="19" t="s">
        <v>37</v>
      </c>
      <c r="D62" s="33">
        <v>2</v>
      </c>
      <c r="E62" s="16" t="s">
        <v>14</v>
      </c>
      <c r="F62" s="12">
        <f t="shared" si="17"/>
        <v>0</v>
      </c>
      <c r="G62" s="12">
        <f t="shared" si="18"/>
        <v>0</v>
      </c>
      <c r="H62" s="16" t="s">
        <v>14</v>
      </c>
      <c r="I62" s="12">
        <f t="shared" si="19"/>
        <v>0</v>
      </c>
      <c r="J62" s="36" t="str">
        <f t="shared" si="20"/>
        <v/>
      </c>
    </row>
    <row r="63" spans="2:20" x14ac:dyDescent="0.2">
      <c r="B63" s="17"/>
      <c r="C63" s="19" t="s">
        <v>38</v>
      </c>
      <c r="D63" s="33">
        <v>2</v>
      </c>
      <c r="E63" s="16" t="s">
        <v>14</v>
      </c>
      <c r="F63" s="12">
        <f t="shared" si="17"/>
        <v>0</v>
      </c>
      <c r="G63" s="12">
        <f t="shared" si="18"/>
        <v>0</v>
      </c>
      <c r="H63" s="16" t="s">
        <v>14</v>
      </c>
      <c r="I63" s="12">
        <f t="shared" si="19"/>
        <v>0</v>
      </c>
      <c r="J63" s="36" t="str">
        <f t="shared" si="20"/>
        <v/>
      </c>
    </row>
    <row r="64" spans="2:20" x14ac:dyDescent="0.2">
      <c r="B64" s="17"/>
      <c r="C64" s="19" t="s">
        <v>39</v>
      </c>
      <c r="D64" s="33">
        <v>1</v>
      </c>
      <c r="E64" s="16" t="s">
        <v>14</v>
      </c>
      <c r="F64" s="12">
        <f t="shared" si="17"/>
        <v>0</v>
      </c>
      <c r="G64" s="12">
        <f t="shared" si="18"/>
        <v>0</v>
      </c>
      <c r="H64" s="16" t="s">
        <v>14</v>
      </c>
      <c r="I64" s="12">
        <f t="shared" si="19"/>
        <v>0</v>
      </c>
      <c r="J64" s="36" t="str">
        <f t="shared" si="20"/>
        <v/>
      </c>
    </row>
    <row r="65" spans="2:12" x14ac:dyDescent="0.2">
      <c r="B65" s="17"/>
      <c r="C65" s="19" t="s">
        <v>40</v>
      </c>
      <c r="D65" s="33">
        <v>1</v>
      </c>
      <c r="E65" s="16" t="s">
        <v>14</v>
      </c>
      <c r="F65" s="12">
        <f t="shared" si="17"/>
        <v>0</v>
      </c>
      <c r="G65" s="12">
        <f t="shared" si="18"/>
        <v>0</v>
      </c>
      <c r="H65" s="16" t="s">
        <v>14</v>
      </c>
      <c r="I65" s="12">
        <f t="shared" si="19"/>
        <v>0</v>
      </c>
      <c r="J65" s="36" t="str">
        <f t="shared" si="20"/>
        <v/>
      </c>
    </row>
    <row r="66" spans="2:12" x14ac:dyDescent="0.2">
      <c r="B66" s="17"/>
      <c r="C66" s="19" t="s">
        <v>41</v>
      </c>
      <c r="D66" s="33">
        <v>2</v>
      </c>
      <c r="E66" s="16" t="s">
        <v>14</v>
      </c>
      <c r="F66" s="12">
        <f t="shared" si="17"/>
        <v>0</v>
      </c>
      <c r="G66" s="12">
        <f t="shared" si="18"/>
        <v>0</v>
      </c>
      <c r="H66" s="16" t="s">
        <v>14</v>
      </c>
      <c r="I66" s="12">
        <f t="shared" si="19"/>
        <v>0</v>
      </c>
      <c r="J66" s="36" t="str">
        <f t="shared" si="20"/>
        <v/>
      </c>
    </row>
    <row r="67" spans="2:12" x14ac:dyDescent="0.2">
      <c r="B67" s="17"/>
      <c r="C67" s="19" t="s">
        <v>42</v>
      </c>
      <c r="D67" s="33">
        <v>2</v>
      </c>
      <c r="E67" s="16" t="s">
        <v>14</v>
      </c>
      <c r="F67" s="12">
        <f t="shared" si="17"/>
        <v>0</v>
      </c>
      <c r="G67" s="12">
        <f t="shared" si="18"/>
        <v>0</v>
      </c>
      <c r="H67" s="16" t="s">
        <v>14</v>
      </c>
      <c r="I67" s="12">
        <f t="shared" si="19"/>
        <v>0</v>
      </c>
      <c r="J67" s="36" t="str">
        <f t="shared" si="20"/>
        <v/>
      </c>
    </row>
    <row r="68" spans="2:12" x14ac:dyDescent="0.2">
      <c r="B68" s="17"/>
      <c r="C68" s="41" t="s">
        <v>43</v>
      </c>
      <c r="D68" s="33">
        <v>2</v>
      </c>
      <c r="E68" s="16" t="s">
        <v>14</v>
      </c>
      <c r="F68" s="12">
        <f t="shared" si="17"/>
        <v>0</v>
      </c>
      <c r="G68" s="12">
        <f t="shared" si="18"/>
        <v>0</v>
      </c>
      <c r="H68" s="16" t="s">
        <v>14</v>
      </c>
      <c r="I68" s="12">
        <f t="shared" si="19"/>
        <v>0</v>
      </c>
      <c r="J68" s="36" t="str">
        <f t="shared" si="20"/>
        <v/>
      </c>
    </row>
    <row r="69" spans="2:12" x14ac:dyDescent="0.2">
      <c r="C69"/>
      <c r="D69"/>
    </row>
    <row r="70" spans="2:12" x14ac:dyDescent="0.2">
      <c r="B70" s="325" t="s">
        <v>87</v>
      </c>
      <c r="C70" s="325"/>
      <c r="D70" s="325"/>
      <c r="E70" s="325"/>
      <c r="F70" s="325"/>
      <c r="G70" s="325"/>
      <c r="H70" s="325"/>
      <c r="I70" s="325"/>
    </row>
    <row r="71" spans="2:12" x14ac:dyDescent="0.2">
      <c r="B71" s="3"/>
      <c r="C71" s="175" t="s">
        <v>547</v>
      </c>
      <c r="D71" s="4"/>
      <c r="E71" s="7">
        <f>ROWS(E72:E89)-COUNTIF(E72:E89,"=―")-COUNTIF(E72:E89,"=F")</f>
        <v>0</v>
      </c>
      <c r="F71" s="43">
        <f>SUM(F72:F89)</f>
        <v>0</v>
      </c>
      <c r="G71" s="15">
        <f>SUM(G72:G89)</f>
        <v>0</v>
      </c>
      <c r="H71" s="7">
        <f>COUNTIF(H72:H89,"R")</f>
        <v>0</v>
      </c>
      <c r="I71" s="43">
        <f>SUM(I72:I89)</f>
        <v>0</v>
      </c>
    </row>
    <row r="72" spans="2:12" x14ac:dyDescent="0.2">
      <c r="B72" s="29" t="s">
        <v>88</v>
      </c>
      <c r="C72" s="18" t="s">
        <v>89</v>
      </c>
      <c r="D72" s="34">
        <v>2</v>
      </c>
      <c r="E72" s="291" t="s">
        <v>14</v>
      </c>
      <c r="F72" s="12">
        <f t="shared" ref="F72:F89" si="21">IF(OR(CODE(E72)&lt;=67,CODE(E72)=83),D72,0)</f>
        <v>0</v>
      </c>
      <c r="G72" s="12">
        <f>IF(E72="S",4,IF(E72="A",3,IF(E72="B",2,IF(E72="C",1,0))))*F72</f>
        <v>0</v>
      </c>
      <c r="H72" s="291" t="s">
        <v>14</v>
      </c>
      <c r="I72" s="12">
        <f t="shared" ref="I72:I89" si="22">IF(AND(CODE(H72)=82,F72=0),D72,0)</f>
        <v>0</v>
      </c>
      <c r="J72" s="36" t="str">
        <f t="shared" ref="J72:J89" si="23">IF(AND(F72&lt;&gt;0,H72="R"),"×","")</f>
        <v/>
      </c>
      <c r="K72" s="315" t="s">
        <v>217</v>
      </c>
      <c r="L72" s="316"/>
    </row>
    <row r="73" spans="2:12" x14ac:dyDescent="0.2">
      <c r="B73" s="29"/>
      <c r="C73" s="18" t="s">
        <v>90</v>
      </c>
      <c r="D73" s="34">
        <v>1</v>
      </c>
      <c r="E73" s="291" t="s">
        <v>14</v>
      </c>
      <c r="F73" s="12">
        <f t="shared" si="21"/>
        <v>0</v>
      </c>
      <c r="G73" s="12">
        <f t="shared" ref="G73:G89" si="24">IF(E73="S",4,IF(E73="A",3,IF(E73="B",2,IF(E73="C",1,0))))*F73</f>
        <v>0</v>
      </c>
      <c r="H73" s="291" t="s">
        <v>14</v>
      </c>
      <c r="I73" s="12">
        <f t="shared" si="22"/>
        <v>0</v>
      </c>
      <c r="J73" s="36" t="str">
        <f t="shared" si="23"/>
        <v/>
      </c>
      <c r="K73" s="4" t="b">
        <f>AND(F72,F74,F75,F77,F78,F80,F81,F82,F84,F85)</f>
        <v>0</v>
      </c>
      <c r="L73" s="4" t="b">
        <f>AND(OR(F72,I72),OR(F74,I74),OR(F75,I75),OR(F77,I77),OR(F78,I78),OR(F80,I80),OR(F81,I81),OR(F82,I82),OR(F84,I84),OR(F85,I85))</f>
        <v>0</v>
      </c>
    </row>
    <row r="74" spans="2:12" ht="16.2" customHeight="1" x14ac:dyDescent="0.2">
      <c r="B74" s="29" t="s">
        <v>88</v>
      </c>
      <c r="C74" s="18" t="s">
        <v>91</v>
      </c>
      <c r="D74" s="34">
        <v>2</v>
      </c>
      <c r="E74" s="291" t="s">
        <v>14</v>
      </c>
      <c r="F74" s="12">
        <f t="shared" si="21"/>
        <v>0</v>
      </c>
      <c r="G74" s="12">
        <f t="shared" si="24"/>
        <v>0</v>
      </c>
      <c r="H74" s="291" t="s">
        <v>14</v>
      </c>
      <c r="I74" s="12">
        <f t="shared" si="22"/>
        <v>0</v>
      </c>
      <c r="J74" s="36" t="str">
        <f t="shared" si="23"/>
        <v/>
      </c>
      <c r="K74" s="323" t="s">
        <v>213</v>
      </c>
      <c r="L74" s="324"/>
    </row>
    <row r="75" spans="2:12" x14ac:dyDescent="0.2">
      <c r="B75" s="29" t="s">
        <v>88</v>
      </c>
      <c r="C75" s="18" t="s">
        <v>92</v>
      </c>
      <c r="D75" s="34">
        <v>2</v>
      </c>
      <c r="E75" s="291" t="s">
        <v>14</v>
      </c>
      <c r="F75" s="12">
        <f t="shared" si="21"/>
        <v>0</v>
      </c>
      <c r="G75" s="12">
        <f t="shared" si="24"/>
        <v>0</v>
      </c>
      <c r="H75" s="291" t="s">
        <v>14</v>
      </c>
      <c r="I75" s="12">
        <f t="shared" si="22"/>
        <v>0</v>
      </c>
      <c r="J75" s="36" t="str">
        <f t="shared" si="23"/>
        <v/>
      </c>
      <c r="K75" s="4" t="b">
        <f>AND(F71&gt;=16)</f>
        <v>0</v>
      </c>
      <c r="L75" s="4" t="b">
        <f>AND(I71+F71&gt;=16)</f>
        <v>0</v>
      </c>
    </row>
    <row r="76" spans="2:12" x14ac:dyDescent="0.2">
      <c r="B76" s="29"/>
      <c r="C76" s="18" t="s">
        <v>93</v>
      </c>
      <c r="D76" s="34">
        <v>1</v>
      </c>
      <c r="E76" s="291" t="s">
        <v>14</v>
      </c>
      <c r="F76" s="12">
        <f t="shared" si="21"/>
        <v>0</v>
      </c>
      <c r="G76" s="12">
        <f t="shared" si="24"/>
        <v>0</v>
      </c>
      <c r="H76" s="291" t="s">
        <v>14</v>
      </c>
      <c r="I76" s="12">
        <f t="shared" si="22"/>
        <v>0</v>
      </c>
      <c r="J76" s="36" t="str">
        <f t="shared" si="23"/>
        <v/>
      </c>
    </row>
    <row r="77" spans="2:12" ht="15.6" customHeight="1" x14ac:dyDescent="0.2">
      <c r="B77" s="29" t="s">
        <v>88</v>
      </c>
      <c r="C77" s="18" t="s">
        <v>94</v>
      </c>
      <c r="D77" s="34">
        <v>2</v>
      </c>
      <c r="E77" s="291" t="s">
        <v>14</v>
      </c>
      <c r="F77" s="12">
        <f t="shared" si="21"/>
        <v>0</v>
      </c>
      <c r="G77" s="12">
        <f t="shared" si="24"/>
        <v>0</v>
      </c>
      <c r="H77" s="291" t="s">
        <v>14</v>
      </c>
      <c r="I77" s="12">
        <f t="shared" si="22"/>
        <v>0</v>
      </c>
      <c r="J77" s="36" t="str">
        <f t="shared" si="23"/>
        <v/>
      </c>
      <c r="K77" s="5" t="s">
        <v>706</v>
      </c>
      <c r="L77" s="262" t="str">
        <f>IF(COUNTIF(J72:J89,"×"),"重複","履修可")</f>
        <v>履修可</v>
      </c>
    </row>
    <row r="78" spans="2:12" x14ac:dyDescent="0.2">
      <c r="B78" s="29" t="s">
        <v>88</v>
      </c>
      <c r="C78" s="18" t="s">
        <v>95</v>
      </c>
      <c r="D78" s="34">
        <v>2</v>
      </c>
      <c r="E78" s="291" t="s">
        <v>14</v>
      </c>
      <c r="F78" s="12">
        <f t="shared" si="21"/>
        <v>0</v>
      </c>
      <c r="G78" s="12">
        <f t="shared" si="24"/>
        <v>0</v>
      </c>
      <c r="H78" s="291" t="s">
        <v>14</v>
      </c>
      <c r="I78" s="12">
        <f t="shared" si="22"/>
        <v>0</v>
      </c>
      <c r="J78" s="36" t="str">
        <f t="shared" si="23"/>
        <v/>
      </c>
    </row>
    <row r="79" spans="2:12" x14ac:dyDescent="0.2">
      <c r="B79" s="29"/>
      <c r="C79" s="18" t="s">
        <v>96</v>
      </c>
      <c r="D79" s="34">
        <v>2</v>
      </c>
      <c r="E79" s="291" t="s">
        <v>14</v>
      </c>
      <c r="F79" s="12">
        <f t="shared" si="21"/>
        <v>0</v>
      </c>
      <c r="G79" s="12">
        <f t="shared" si="24"/>
        <v>0</v>
      </c>
      <c r="H79" s="291" t="s">
        <v>14</v>
      </c>
      <c r="I79" s="12">
        <f t="shared" si="22"/>
        <v>0</v>
      </c>
      <c r="J79" s="36" t="str">
        <f t="shared" si="23"/>
        <v/>
      </c>
    </row>
    <row r="80" spans="2:12" x14ac:dyDescent="0.2">
      <c r="B80" s="29" t="s">
        <v>88</v>
      </c>
      <c r="C80" s="18" t="s">
        <v>97</v>
      </c>
      <c r="D80" s="34">
        <v>1</v>
      </c>
      <c r="E80" s="291" t="s">
        <v>14</v>
      </c>
      <c r="F80" s="12">
        <f t="shared" si="21"/>
        <v>0</v>
      </c>
      <c r="G80" s="12">
        <f t="shared" si="24"/>
        <v>0</v>
      </c>
      <c r="H80" s="291" t="s">
        <v>14</v>
      </c>
      <c r="I80" s="12">
        <f t="shared" si="22"/>
        <v>0</v>
      </c>
      <c r="J80" s="36" t="str">
        <f t="shared" si="23"/>
        <v/>
      </c>
    </row>
    <row r="81" spans="2:12" x14ac:dyDescent="0.2">
      <c r="B81" s="29" t="s">
        <v>88</v>
      </c>
      <c r="C81" s="18" t="s">
        <v>98</v>
      </c>
      <c r="D81" s="34">
        <v>1</v>
      </c>
      <c r="E81" s="291" t="s">
        <v>14</v>
      </c>
      <c r="F81" s="12">
        <f t="shared" si="21"/>
        <v>0</v>
      </c>
      <c r="G81" s="12">
        <f t="shared" si="24"/>
        <v>0</v>
      </c>
      <c r="H81" s="291" t="s">
        <v>14</v>
      </c>
      <c r="I81" s="12">
        <f t="shared" si="22"/>
        <v>0</v>
      </c>
      <c r="J81" s="36" t="str">
        <f t="shared" si="23"/>
        <v/>
      </c>
    </row>
    <row r="82" spans="2:12" x14ac:dyDescent="0.2">
      <c r="B82" s="29" t="s">
        <v>88</v>
      </c>
      <c r="C82" s="18" t="s">
        <v>99</v>
      </c>
      <c r="D82" s="34">
        <v>2</v>
      </c>
      <c r="E82" s="16" t="s">
        <v>14</v>
      </c>
      <c r="F82" s="12">
        <f t="shared" si="21"/>
        <v>0</v>
      </c>
      <c r="G82" s="12">
        <f t="shared" si="24"/>
        <v>0</v>
      </c>
      <c r="H82" s="16" t="s">
        <v>14</v>
      </c>
      <c r="I82" s="12">
        <f t="shared" si="22"/>
        <v>0</v>
      </c>
      <c r="J82" s="36" t="str">
        <f t="shared" si="23"/>
        <v/>
      </c>
    </row>
    <row r="83" spans="2:12" x14ac:dyDescent="0.2">
      <c r="B83" s="29"/>
      <c r="C83" s="18" t="s">
        <v>100</v>
      </c>
      <c r="D83" s="34">
        <v>2</v>
      </c>
      <c r="E83" s="16" t="s">
        <v>14</v>
      </c>
      <c r="F83" s="12">
        <f t="shared" si="21"/>
        <v>0</v>
      </c>
      <c r="G83" s="12">
        <f t="shared" si="24"/>
        <v>0</v>
      </c>
      <c r="H83" s="291" t="s">
        <v>14</v>
      </c>
      <c r="I83" s="12">
        <f t="shared" si="22"/>
        <v>0</v>
      </c>
      <c r="J83" s="36" t="str">
        <f t="shared" si="23"/>
        <v/>
      </c>
    </row>
    <row r="84" spans="2:12" x14ac:dyDescent="0.2">
      <c r="B84" s="29" t="s">
        <v>88</v>
      </c>
      <c r="C84" s="18" t="s">
        <v>101</v>
      </c>
      <c r="D84" s="34">
        <v>1</v>
      </c>
      <c r="E84" s="16" t="s">
        <v>14</v>
      </c>
      <c r="F84" s="12">
        <f t="shared" si="21"/>
        <v>0</v>
      </c>
      <c r="G84" s="12">
        <f t="shared" si="24"/>
        <v>0</v>
      </c>
      <c r="H84" s="16" t="s">
        <v>14</v>
      </c>
      <c r="I84" s="12">
        <f t="shared" si="22"/>
        <v>0</v>
      </c>
      <c r="J84" s="36" t="str">
        <f t="shared" si="23"/>
        <v/>
      </c>
    </row>
    <row r="85" spans="2:12" x14ac:dyDescent="0.2">
      <c r="B85" s="29" t="s">
        <v>88</v>
      </c>
      <c r="C85" s="18" t="s">
        <v>102</v>
      </c>
      <c r="D85" s="34">
        <v>1</v>
      </c>
      <c r="E85" s="16" t="s">
        <v>14</v>
      </c>
      <c r="F85" s="12">
        <f t="shared" si="21"/>
        <v>0</v>
      </c>
      <c r="G85" s="12">
        <f t="shared" si="24"/>
        <v>0</v>
      </c>
      <c r="H85" s="16" t="s">
        <v>14</v>
      </c>
      <c r="I85" s="12">
        <f t="shared" si="22"/>
        <v>0</v>
      </c>
      <c r="J85" s="36" t="str">
        <f t="shared" si="23"/>
        <v/>
      </c>
    </row>
    <row r="86" spans="2:12" x14ac:dyDescent="0.2">
      <c r="B86" s="29"/>
      <c r="C86" s="18" t="s">
        <v>103</v>
      </c>
      <c r="D86" s="34">
        <v>2</v>
      </c>
      <c r="E86" s="16" t="s">
        <v>14</v>
      </c>
      <c r="F86" s="12">
        <f t="shared" si="21"/>
        <v>0</v>
      </c>
      <c r="G86" s="12">
        <f t="shared" si="24"/>
        <v>0</v>
      </c>
      <c r="H86" s="16" t="s">
        <v>14</v>
      </c>
      <c r="I86" s="12">
        <f t="shared" si="22"/>
        <v>0</v>
      </c>
      <c r="J86" s="36" t="str">
        <f t="shared" si="23"/>
        <v/>
      </c>
    </row>
    <row r="87" spans="2:12" x14ac:dyDescent="0.2">
      <c r="B87" s="29"/>
      <c r="C87" s="18" t="s">
        <v>104</v>
      </c>
      <c r="D87" s="34">
        <v>2</v>
      </c>
      <c r="E87" s="16" t="s">
        <v>14</v>
      </c>
      <c r="F87" s="12">
        <f t="shared" si="21"/>
        <v>0</v>
      </c>
      <c r="G87" s="12">
        <f t="shared" si="24"/>
        <v>0</v>
      </c>
      <c r="H87" s="16" t="s">
        <v>14</v>
      </c>
      <c r="I87" s="12">
        <f t="shared" si="22"/>
        <v>0</v>
      </c>
      <c r="J87" s="36" t="str">
        <f t="shared" si="23"/>
        <v/>
      </c>
    </row>
    <row r="88" spans="2:12" x14ac:dyDescent="0.2">
      <c r="B88" s="29"/>
      <c r="C88" s="18" t="s">
        <v>105</v>
      </c>
      <c r="D88" s="34">
        <v>2</v>
      </c>
      <c r="E88" s="16" t="s">
        <v>14</v>
      </c>
      <c r="F88" s="12">
        <f t="shared" si="21"/>
        <v>0</v>
      </c>
      <c r="G88" s="12">
        <f t="shared" si="24"/>
        <v>0</v>
      </c>
      <c r="H88" s="16" t="s">
        <v>14</v>
      </c>
      <c r="I88" s="12">
        <f t="shared" si="22"/>
        <v>0</v>
      </c>
      <c r="J88" s="36" t="str">
        <f t="shared" si="23"/>
        <v/>
      </c>
    </row>
    <row r="89" spans="2:12" x14ac:dyDescent="0.2">
      <c r="B89" s="29"/>
      <c r="C89" s="18" t="s">
        <v>106</v>
      </c>
      <c r="D89" s="34">
        <v>2</v>
      </c>
      <c r="E89" s="16" t="s">
        <v>14</v>
      </c>
      <c r="F89" s="12">
        <f t="shared" si="21"/>
        <v>0</v>
      </c>
      <c r="G89" s="12">
        <f t="shared" si="24"/>
        <v>0</v>
      </c>
      <c r="H89" s="16" t="s">
        <v>14</v>
      </c>
      <c r="I89" s="12">
        <f t="shared" si="22"/>
        <v>0</v>
      </c>
      <c r="J89" s="36" t="str">
        <f t="shared" si="23"/>
        <v/>
      </c>
    </row>
    <row r="90" spans="2:12" x14ac:dyDescent="0.2">
      <c r="C90"/>
      <c r="D90"/>
    </row>
    <row r="91" spans="2:12" x14ac:dyDescent="0.2">
      <c r="B91" s="326" t="s">
        <v>107</v>
      </c>
      <c r="C91" s="326"/>
      <c r="D91" s="326"/>
      <c r="E91" s="326"/>
      <c r="F91" s="326"/>
      <c r="G91" s="326"/>
      <c r="H91" s="326"/>
      <c r="I91" s="326"/>
    </row>
    <row r="92" spans="2:12" x14ac:dyDescent="0.2">
      <c r="B92" s="22"/>
      <c r="C92" s="175" t="s">
        <v>547</v>
      </c>
      <c r="D92" s="4"/>
      <c r="E92" s="7">
        <f>ROWS(E93:E118)-COUNTIF(E93:E118,"=―")-COUNTIF(E93:E118,"=F")</f>
        <v>0</v>
      </c>
      <c r="F92" s="43">
        <f>SUM(F93:F118)</f>
        <v>0</v>
      </c>
      <c r="G92" s="15">
        <f>SUM(G93:G118)</f>
        <v>0</v>
      </c>
      <c r="H92" s="7">
        <f>COUNTIF(H93:H118,"R")</f>
        <v>0</v>
      </c>
      <c r="I92" s="43">
        <f>SUM(I93:I118)</f>
        <v>0</v>
      </c>
    </row>
    <row r="93" spans="2:12" x14ac:dyDescent="0.2">
      <c r="B93" s="29" t="s">
        <v>88</v>
      </c>
      <c r="C93" s="18" t="s">
        <v>108</v>
      </c>
      <c r="D93" s="34">
        <v>2</v>
      </c>
      <c r="E93" s="16" t="s">
        <v>14</v>
      </c>
      <c r="F93" s="12">
        <f t="shared" ref="F93:F118" si="25">IF(OR(CODE(E93)&lt;=67,CODE(E93)=83),D93,0)</f>
        <v>0</v>
      </c>
      <c r="G93" s="12">
        <f t="shared" ref="G93:G118" si="26">IF(E93="S",4,IF(E93="A",3,IF(E93="B",2,IF(E93="C",1,0))))*F93</f>
        <v>0</v>
      </c>
      <c r="H93" s="16" t="s">
        <v>14</v>
      </c>
      <c r="I93" s="12">
        <f t="shared" ref="I93:I118" si="27">IF(AND(CODE(H93)=82,F93=0),D93,0)</f>
        <v>0</v>
      </c>
      <c r="J93" s="36" t="str">
        <f t="shared" ref="J93:J118" si="28">IF(AND(F93&lt;&gt;0,H93="R"),"×","")</f>
        <v/>
      </c>
      <c r="K93" s="315" t="s">
        <v>216</v>
      </c>
      <c r="L93" s="316"/>
    </row>
    <row r="94" spans="2:12" x14ac:dyDescent="0.2">
      <c r="B94" s="29"/>
      <c r="C94" s="18" t="s">
        <v>109</v>
      </c>
      <c r="D94" s="34">
        <v>2</v>
      </c>
      <c r="E94" s="16" t="s">
        <v>14</v>
      </c>
      <c r="F94" s="12">
        <f t="shared" si="25"/>
        <v>0</v>
      </c>
      <c r="G94" s="12">
        <f t="shared" si="26"/>
        <v>0</v>
      </c>
      <c r="H94" s="16" t="s">
        <v>14</v>
      </c>
      <c r="I94" s="12">
        <f t="shared" si="27"/>
        <v>0</v>
      </c>
      <c r="J94" s="36" t="str">
        <f t="shared" si="28"/>
        <v/>
      </c>
      <c r="K94" s="4" t="b">
        <f>AND(F93,F95,F97,F100,F113,F114,F115,OR(F101,F103))</f>
        <v>0</v>
      </c>
      <c r="L94" s="4" t="b">
        <f>AND(OR(F93,I93),OR(F95,I95),OR(F97,I97),OR(F100,I100),OR(F113,I113),OR(F114,I114),OR(F115,I115),OR(F101,I101,F103,I103))</f>
        <v>0</v>
      </c>
    </row>
    <row r="95" spans="2:12" x14ac:dyDescent="0.2">
      <c r="B95" s="29" t="s">
        <v>88</v>
      </c>
      <c r="C95" s="18" t="s">
        <v>110</v>
      </c>
      <c r="D95" s="34">
        <v>2</v>
      </c>
      <c r="E95" s="16" t="s">
        <v>14</v>
      </c>
      <c r="F95" s="12">
        <f t="shared" si="25"/>
        <v>0</v>
      </c>
      <c r="G95" s="12">
        <f t="shared" si="26"/>
        <v>0</v>
      </c>
      <c r="H95" s="16" t="s">
        <v>14</v>
      </c>
      <c r="I95" s="12">
        <f t="shared" si="27"/>
        <v>0</v>
      </c>
      <c r="J95" s="36" t="str">
        <f t="shared" si="28"/>
        <v/>
      </c>
      <c r="K95" s="323" t="s">
        <v>214</v>
      </c>
      <c r="L95" s="324"/>
    </row>
    <row r="96" spans="2:12" x14ac:dyDescent="0.2">
      <c r="B96" s="29"/>
      <c r="C96" s="18" t="s">
        <v>111</v>
      </c>
      <c r="D96" s="34">
        <v>2</v>
      </c>
      <c r="E96" s="16" t="s">
        <v>14</v>
      </c>
      <c r="F96" s="12">
        <f t="shared" si="25"/>
        <v>0</v>
      </c>
      <c r="G96" s="12">
        <f t="shared" si="26"/>
        <v>0</v>
      </c>
      <c r="H96" s="16" t="s">
        <v>14</v>
      </c>
      <c r="I96" s="12">
        <f t="shared" si="27"/>
        <v>0</v>
      </c>
      <c r="J96" s="36" t="str">
        <f t="shared" si="28"/>
        <v/>
      </c>
      <c r="K96" s="4" t="b">
        <f>AND(F92&gt;=14)</f>
        <v>0</v>
      </c>
      <c r="L96" s="4" t="b">
        <f>AND((I92+F92)&gt;=14)</f>
        <v>0</v>
      </c>
    </row>
    <row r="97" spans="2:12" x14ac:dyDescent="0.2">
      <c r="B97" s="29" t="s">
        <v>88</v>
      </c>
      <c r="C97" s="18" t="s">
        <v>112</v>
      </c>
      <c r="D97" s="34">
        <v>2</v>
      </c>
      <c r="E97" s="16" t="s">
        <v>14</v>
      </c>
      <c r="F97" s="12">
        <f t="shared" si="25"/>
        <v>0</v>
      </c>
      <c r="G97" s="12">
        <f t="shared" si="26"/>
        <v>0</v>
      </c>
      <c r="H97" s="16" t="s">
        <v>14</v>
      </c>
      <c r="I97" s="12">
        <f t="shared" si="27"/>
        <v>0</v>
      </c>
      <c r="J97" s="36" t="str">
        <f t="shared" si="28"/>
        <v/>
      </c>
    </row>
    <row r="98" spans="2:12" x14ac:dyDescent="0.2">
      <c r="B98" s="29"/>
      <c r="C98" s="18" t="s">
        <v>113</v>
      </c>
      <c r="D98" s="34">
        <v>2</v>
      </c>
      <c r="E98" s="16" t="s">
        <v>14</v>
      </c>
      <c r="F98" s="12">
        <f t="shared" si="25"/>
        <v>0</v>
      </c>
      <c r="G98" s="12">
        <f t="shared" si="26"/>
        <v>0</v>
      </c>
      <c r="H98" s="16" t="s">
        <v>14</v>
      </c>
      <c r="I98" s="12">
        <f t="shared" si="27"/>
        <v>0</v>
      </c>
      <c r="J98" s="36" t="str">
        <f t="shared" si="28"/>
        <v/>
      </c>
      <c r="K98" s="5" t="s">
        <v>706</v>
      </c>
      <c r="L98" s="262" t="str">
        <f>IF(COUNTIF(J93:J118,"×"),"重複","履修可")</f>
        <v>履修可</v>
      </c>
    </row>
    <row r="99" spans="2:12" x14ac:dyDescent="0.2">
      <c r="B99" s="29"/>
      <c r="C99" s="18" t="s">
        <v>114</v>
      </c>
      <c r="D99" s="34">
        <v>2</v>
      </c>
      <c r="E99" s="16" t="s">
        <v>14</v>
      </c>
      <c r="F99" s="12">
        <f t="shared" si="25"/>
        <v>0</v>
      </c>
      <c r="G99" s="12">
        <f t="shared" si="26"/>
        <v>0</v>
      </c>
      <c r="H99" s="16" t="s">
        <v>14</v>
      </c>
      <c r="I99" s="12">
        <f t="shared" si="27"/>
        <v>0</v>
      </c>
      <c r="J99" s="36" t="str">
        <f t="shared" si="28"/>
        <v/>
      </c>
    </row>
    <row r="100" spans="2:12" x14ac:dyDescent="0.2">
      <c r="B100" s="29" t="s">
        <v>88</v>
      </c>
      <c r="C100" s="18" t="s">
        <v>115</v>
      </c>
      <c r="D100" s="34">
        <v>2</v>
      </c>
      <c r="E100" s="16" t="s">
        <v>14</v>
      </c>
      <c r="F100" s="12">
        <f t="shared" si="25"/>
        <v>0</v>
      </c>
      <c r="G100" s="12">
        <f t="shared" si="26"/>
        <v>0</v>
      </c>
      <c r="H100" s="16" t="s">
        <v>14</v>
      </c>
      <c r="I100" s="12">
        <f t="shared" si="27"/>
        <v>0</v>
      </c>
      <c r="J100" s="36" t="str">
        <f t="shared" si="28"/>
        <v/>
      </c>
    </row>
    <row r="101" spans="2:12" x14ac:dyDescent="0.2">
      <c r="B101" s="29" t="s">
        <v>116</v>
      </c>
      <c r="C101" s="18" t="s">
        <v>117</v>
      </c>
      <c r="D101" s="34">
        <v>2</v>
      </c>
      <c r="E101" s="16" t="s">
        <v>14</v>
      </c>
      <c r="F101" s="12">
        <f t="shared" si="25"/>
        <v>0</v>
      </c>
      <c r="G101" s="12">
        <f t="shared" si="26"/>
        <v>0</v>
      </c>
      <c r="H101" s="16" t="s">
        <v>14</v>
      </c>
      <c r="I101" s="12">
        <f t="shared" si="27"/>
        <v>0</v>
      </c>
      <c r="J101" s="36" t="str">
        <f t="shared" si="28"/>
        <v/>
      </c>
    </row>
    <row r="102" spans="2:12" x14ac:dyDescent="0.2">
      <c r="B102" s="29"/>
      <c r="C102" s="18" t="s">
        <v>118</v>
      </c>
      <c r="D102" s="34">
        <v>2</v>
      </c>
      <c r="E102" s="16" t="s">
        <v>14</v>
      </c>
      <c r="F102" s="12">
        <f t="shared" si="25"/>
        <v>0</v>
      </c>
      <c r="G102" s="12">
        <f t="shared" si="26"/>
        <v>0</v>
      </c>
      <c r="H102" s="16" t="s">
        <v>14</v>
      </c>
      <c r="I102" s="12">
        <f t="shared" si="27"/>
        <v>0</v>
      </c>
      <c r="J102" s="36" t="str">
        <f t="shared" si="28"/>
        <v/>
      </c>
    </row>
    <row r="103" spans="2:12" x14ac:dyDescent="0.2">
      <c r="B103" s="29" t="s">
        <v>116</v>
      </c>
      <c r="C103" s="18" t="s">
        <v>119</v>
      </c>
      <c r="D103" s="34">
        <v>2</v>
      </c>
      <c r="E103" s="16" t="s">
        <v>14</v>
      </c>
      <c r="F103" s="12">
        <f t="shared" si="25"/>
        <v>0</v>
      </c>
      <c r="G103" s="12">
        <f t="shared" si="26"/>
        <v>0</v>
      </c>
      <c r="H103" s="16" t="s">
        <v>14</v>
      </c>
      <c r="I103" s="12">
        <f t="shared" si="27"/>
        <v>0</v>
      </c>
      <c r="J103" s="36" t="str">
        <f t="shared" si="28"/>
        <v/>
      </c>
    </row>
    <row r="104" spans="2:12" x14ac:dyDescent="0.2">
      <c r="B104" s="29"/>
      <c r="C104" s="18" t="s">
        <v>120</v>
      </c>
      <c r="D104" s="34">
        <v>2</v>
      </c>
      <c r="E104" s="16" t="s">
        <v>14</v>
      </c>
      <c r="F104" s="12">
        <f t="shared" si="25"/>
        <v>0</v>
      </c>
      <c r="G104" s="12">
        <f t="shared" si="26"/>
        <v>0</v>
      </c>
      <c r="H104" s="16" t="s">
        <v>14</v>
      </c>
      <c r="I104" s="12">
        <f t="shared" si="27"/>
        <v>0</v>
      </c>
      <c r="J104" s="36" t="str">
        <f t="shared" si="28"/>
        <v/>
      </c>
    </row>
    <row r="105" spans="2:12" x14ac:dyDescent="0.2">
      <c r="B105" s="29"/>
      <c r="C105" s="18" t="s">
        <v>121</v>
      </c>
      <c r="D105" s="34">
        <v>2</v>
      </c>
      <c r="E105" s="16" t="s">
        <v>14</v>
      </c>
      <c r="F105" s="12">
        <f t="shared" si="25"/>
        <v>0</v>
      </c>
      <c r="G105" s="12">
        <f t="shared" si="26"/>
        <v>0</v>
      </c>
      <c r="H105" s="16" t="s">
        <v>14</v>
      </c>
      <c r="I105" s="12">
        <f t="shared" si="27"/>
        <v>0</v>
      </c>
      <c r="J105" s="36" t="str">
        <f t="shared" si="28"/>
        <v/>
      </c>
    </row>
    <row r="106" spans="2:12" x14ac:dyDescent="0.2">
      <c r="B106" s="29"/>
      <c r="C106" s="18" t="s">
        <v>122</v>
      </c>
      <c r="D106" s="34">
        <v>2</v>
      </c>
      <c r="E106" s="16" t="s">
        <v>14</v>
      </c>
      <c r="F106" s="12">
        <f t="shared" si="25"/>
        <v>0</v>
      </c>
      <c r="G106" s="12">
        <f t="shared" si="26"/>
        <v>0</v>
      </c>
      <c r="H106" s="16" t="s">
        <v>14</v>
      </c>
      <c r="I106" s="12">
        <f t="shared" si="27"/>
        <v>0</v>
      </c>
      <c r="J106" s="36" t="str">
        <f t="shared" si="28"/>
        <v/>
      </c>
    </row>
    <row r="107" spans="2:12" x14ac:dyDescent="0.2">
      <c r="B107" s="29"/>
      <c r="C107" s="18" t="s">
        <v>123</v>
      </c>
      <c r="D107" s="34">
        <v>2</v>
      </c>
      <c r="E107" s="16" t="s">
        <v>14</v>
      </c>
      <c r="F107" s="12">
        <f t="shared" si="25"/>
        <v>0</v>
      </c>
      <c r="G107" s="12">
        <f t="shared" si="26"/>
        <v>0</v>
      </c>
      <c r="H107" s="16" t="s">
        <v>14</v>
      </c>
      <c r="I107" s="12">
        <f t="shared" si="27"/>
        <v>0</v>
      </c>
      <c r="J107" s="36" t="str">
        <f t="shared" si="28"/>
        <v/>
      </c>
    </row>
    <row r="108" spans="2:12" x14ac:dyDescent="0.2">
      <c r="B108" s="29"/>
      <c r="C108" s="18" t="s">
        <v>124</v>
      </c>
      <c r="D108" s="34">
        <v>2</v>
      </c>
      <c r="E108" s="16" t="s">
        <v>14</v>
      </c>
      <c r="F108" s="12">
        <f t="shared" si="25"/>
        <v>0</v>
      </c>
      <c r="G108" s="12">
        <f t="shared" si="26"/>
        <v>0</v>
      </c>
      <c r="H108" s="16" t="s">
        <v>14</v>
      </c>
      <c r="I108" s="12">
        <f t="shared" si="27"/>
        <v>0</v>
      </c>
      <c r="J108" s="36" t="str">
        <f t="shared" si="28"/>
        <v/>
      </c>
    </row>
    <row r="109" spans="2:12" x14ac:dyDescent="0.2">
      <c r="B109" s="29"/>
      <c r="C109" s="18" t="s">
        <v>125</v>
      </c>
      <c r="D109" s="34">
        <v>2</v>
      </c>
      <c r="E109" s="16" t="s">
        <v>14</v>
      </c>
      <c r="F109" s="12">
        <f t="shared" si="25"/>
        <v>0</v>
      </c>
      <c r="G109" s="12">
        <f t="shared" si="26"/>
        <v>0</v>
      </c>
      <c r="H109" s="16" t="s">
        <v>14</v>
      </c>
      <c r="I109" s="12">
        <f t="shared" si="27"/>
        <v>0</v>
      </c>
      <c r="J109" s="36" t="str">
        <f t="shared" si="28"/>
        <v/>
      </c>
    </row>
    <row r="110" spans="2:12" x14ac:dyDescent="0.2">
      <c r="B110" s="29"/>
      <c r="C110" s="18" t="s">
        <v>126</v>
      </c>
      <c r="D110" s="34">
        <v>2</v>
      </c>
      <c r="E110" s="16" t="s">
        <v>14</v>
      </c>
      <c r="F110" s="12">
        <f t="shared" si="25"/>
        <v>0</v>
      </c>
      <c r="G110" s="12">
        <f t="shared" si="26"/>
        <v>0</v>
      </c>
      <c r="H110" s="16" t="s">
        <v>14</v>
      </c>
      <c r="I110" s="12">
        <f t="shared" si="27"/>
        <v>0</v>
      </c>
      <c r="J110" s="36" t="str">
        <f t="shared" si="28"/>
        <v/>
      </c>
    </row>
    <row r="111" spans="2:12" x14ac:dyDescent="0.2">
      <c r="B111" s="29"/>
      <c r="C111" s="18" t="s">
        <v>127</v>
      </c>
      <c r="D111" s="34">
        <v>2</v>
      </c>
      <c r="E111" s="16" t="s">
        <v>14</v>
      </c>
      <c r="F111" s="12">
        <f t="shared" si="25"/>
        <v>0</v>
      </c>
      <c r="G111" s="12">
        <f t="shared" si="26"/>
        <v>0</v>
      </c>
      <c r="H111" s="16" t="s">
        <v>14</v>
      </c>
      <c r="I111" s="12">
        <f t="shared" si="27"/>
        <v>0</v>
      </c>
      <c r="J111" s="36" t="str">
        <f t="shared" si="28"/>
        <v/>
      </c>
    </row>
    <row r="112" spans="2:12" x14ac:dyDescent="0.2">
      <c r="B112" s="29"/>
      <c r="C112" s="18" t="s">
        <v>128</v>
      </c>
      <c r="D112" s="34">
        <v>2</v>
      </c>
      <c r="E112" s="16" t="s">
        <v>14</v>
      </c>
      <c r="F112" s="12">
        <f t="shared" si="25"/>
        <v>0</v>
      </c>
      <c r="G112" s="12">
        <f t="shared" si="26"/>
        <v>0</v>
      </c>
      <c r="H112" s="16" t="s">
        <v>14</v>
      </c>
      <c r="I112" s="12">
        <f t="shared" si="27"/>
        <v>0</v>
      </c>
      <c r="J112" s="36" t="str">
        <f t="shared" si="28"/>
        <v/>
      </c>
    </row>
    <row r="113" spans="2:12" x14ac:dyDescent="0.2">
      <c r="B113" s="29" t="s">
        <v>129</v>
      </c>
      <c r="C113" s="18" t="s">
        <v>130</v>
      </c>
      <c r="D113" s="34">
        <v>1</v>
      </c>
      <c r="E113" s="16" t="s">
        <v>14</v>
      </c>
      <c r="F113" s="12">
        <f t="shared" si="25"/>
        <v>0</v>
      </c>
      <c r="G113" s="12">
        <f t="shared" si="26"/>
        <v>0</v>
      </c>
      <c r="H113" s="16" t="s">
        <v>14</v>
      </c>
      <c r="I113" s="12">
        <f t="shared" si="27"/>
        <v>0</v>
      </c>
      <c r="J113" s="36" t="str">
        <f t="shared" si="28"/>
        <v/>
      </c>
    </row>
    <row r="114" spans="2:12" x14ac:dyDescent="0.2">
      <c r="B114" s="29" t="s">
        <v>129</v>
      </c>
      <c r="C114" s="18" t="s">
        <v>131</v>
      </c>
      <c r="D114" s="34">
        <v>1</v>
      </c>
      <c r="E114" s="16" t="s">
        <v>14</v>
      </c>
      <c r="F114" s="12">
        <f t="shared" si="25"/>
        <v>0</v>
      </c>
      <c r="G114" s="12">
        <f t="shared" si="26"/>
        <v>0</v>
      </c>
      <c r="H114" s="16" t="s">
        <v>14</v>
      </c>
      <c r="I114" s="12">
        <f t="shared" si="27"/>
        <v>0</v>
      </c>
      <c r="J114" s="36" t="str">
        <f t="shared" si="28"/>
        <v/>
      </c>
    </row>
    <row r="115" spans="2:12" x14ac:dyDescent="0.2">
      <c r="B115" s="29" t="s">
        <v>88</v>
      </c>
      <c r="C115" s="18" t="s">
        <v>132</v>
      </c>
      <c r="D115" s="34">
        <v>2</v>
      </c>
      <c r="E115" s="16" t="s">
        <v>14</v>
      </c>
      <c r="F115" s="12">
        <f t="shared" si="25"/>
        <v>0</v>
      </c>
      <c r="G115" s="12">
        <f t="shared" si="26"/>
        <v>0</v>
      </c>
      <c r="H115" s="16" t="s">
        <v>14</v>
      </c>
      <c r="I115" s="12">
        <f t="shared" si="27"/>
        <v>0</v>
      </c>
      <c r="J115" s="36" t="str">
        <f t="shared" si="28"/>
        <v/>
      </c>
    </row>
    <row r="116" spans="2:12" x14ac:dyDescent="0.2">
      <c r="B116" s="29"/>
      <c r="C116" s="18" t="s">
        <v>133</v>
      </c>
      <c r="D116" s="34">
        <v>2</v>
      </c>
      <c r="E116" s="16" t="s">
        <v>14</v>
      </c>
      <c r="F116" s="12">
        <f t="shared" si="25"/>
        <v>0</v>
      </c>
      <c r="G116" s="12">
        <f t="shared" si="26"/>
        <v>0</v>
      </c>
      <c r="H116" s="16" t="s">
        <v>14</v>
      </c>
      <c r="I116" s="12">
        <f t="shared" si="27"/>
        <v>0</v>
      </c>
      <c r="J116" s="36" t="str">
        <f t="shared" si="28"/>
        <v/>
      </c>
    </row>
    <row r="117" spans="2:12" x14ac:dyDescent="0.2">
      <c r="B117" s="29"/>
      <c r="C117" s="18" t="s">
        <v>134</v>
      </c>
      <c r="D117" s="34">
        <v>2</v>
      </c>
      <c r="E117" s="16" t="s">
        <v>14</v>
      </c>
      <c r="F117" s="12">
        <f t="shared" si="25"/>
        <v>0</v>
      </c>
      <c r="G117" s="12">
        <f t="shared" si="26"/>
        <v>0</v>
      </c>
      <c r="H117" s="16" t="s">
        <v>14</v>
      </c>
      <c r="I117" s="12">
        <f t="shared" si="27"/>
        <v>0</v>
      </c>
      <c r="J117" s="36" t="str">
        <f t="shared" si="28"/>
        <v/>
      </c>
    </row>
    <row r="118" spans="2:12" x14ac:dyDescent="0.2">
      <c r="B118" s="29"/>
      <c r="C118" s="18" t="s">
        <v>135</v>
      </c>
      <c r="D118" s="34">
        <v>2</v>
      </c>
      <c r="E118" s="16" t="s">
        <v>14</v>
      </c>
      <c r="F118" s="12">
        <f t="shared" si="25"/>
        <v>0</v>
      </c>
      <c r="G118" s="12">
        <f t="shared" si="26"/>
        <v>0</v>
      </c>
      <c r="H118" s="16" t="s">
        <v>14</v>
      </c>
      <c r="I118" s="12">
        <f t="shared" si="27"/>
        <v>0</v>
      </c>
      <c r="J118" s="36" t="str">
        <f t="shared" si="28"/>
        <v/>
      </c>
    </row>
    <row r="119" spans="2:12" x14ac:dyDescent="0.2">
      <c r="C119"/>
      <c r="D119"/>
    </row>
    <row r="120" spans="2:12" x14ac:dyDescent="0.2">
      <c r="B120" s="325" t="s">
        <v>136</v>
      </c>
      <c r="C120" s="325"/>
      <c r="D120" s="325"/>
      <c r="E120" s="325"/>
      <c r="F120" s="325"/>
      <c r="G120" s="325"/>
      <c r="H120" s="325"/>
      <c r="I120" s="325"/>
    </row>
    <row r="121" spans="2:12" x14ac:dyDescent="0.2">
      <c r="B121" s="3"/>
      <c r="C121" s="28"/>
      <c r="D121" s="4" t="s">
        <v>222</v>
      </c>
      <c r="E121" s="7">
        <f>ROWS(E122:E173)-COUNTIF(E122:E173,"=―")-COUNTIF(E122:E173,"=F")</f>
        <v>0</v>
      </c>
      <c r="F121" s="43">
        <f>SUM(F122:F173)</f>
        <v>0</v>
      </c>
      <c r="G121" s="15">
        <f>SUM(G122:G173)</f>
        <v>0</v>
      </c>
      <c r="H121" s="7">
        <f>COUNTIF(H122:H173,"R")</f>
        <v>0</v>
      </c>
      <c r="I121" s="43">
        <f>SUM(I122:I173)</f>
        <v>0</v>
      </c>
    </row>
    <row r="122" spans="2:12" x14ac:dyDescent="0.2">
      <c r="B122" s="29" t="s">
        <v>137</v>
      </c>
      <c r="C122" s="18" t="s">
        <v>138</v>
      </c>
      <c r="D122" s="34">
        <v>2</v>
      </c>
      <c r="E122" s="16" t="s">
        <v>14</v>
      </c>
      <c r="F122" s="12">
        <f t="shared" ref="F122:F173" si="29">IF(OR(CODE(E122)&lt;=67,CODE(E122)=83),D122,0)</f>
        <v>0</v>
      </c>
      <c r="G122" s="12">
        <f t="shared" ref="G122:G173" si="30">IF(E122="S",4,IF(E122="A",3,IF(E122="B",2,IF(E122="C",1,0))))*F122</f>
        <v>0</v>
      </c>
      <c r="H122" s="16" t="s">
        <v>14</v>
      </c>
      <c r="I122" s="12">
        <f t="shared" ref="I122:I154" si="31">IF(AND(CODE(H122)=82,F122=0),D122,0)</f>
        <v>0</v>
      </c>
      <c r="J122" s="36" t="str">
        <f t="shared" ref="J122:J174" si="32">IF(AND(F122&lt;&gt;0,H122="R"),"×","")</f>
        <v/>
      </c>
      <c r="K122" s="315" t="s">
        <v>215</v>
      </c>
      <c r="L122" s="316"/>
    </row>
    <row r="123" spans="2:12" x14ac:dyDescent="0.2">
      <c r="B123" s="29" t="s">
        <v>137</v>
      </c>
      <c r="C123" s="18" t="s">
        <v>139</v>
      </c>
      <c r="D123" s="34">
        <v>2</v>
      </c>
      <c r="E123" s="16" t="s">
        <v>14</v>
      </c>
      <c r="F123" s="12">
        <f t="shared" si="29"/>
        <v>0</v>
      </c>
      <c r="G123" s="12">
        <f t="shared" si="30"/>
        <v>0</v>
      </c>
      <c r="H123" s="16" t="s">
        <v>14</v>
      </c>
      <c r="I123" s="12">
        <f t="shared" si="31"/>
        <v>0</v>
      </c>
      <c r="J123" s="36" t="str">
        <f t="shared" si="32"/>
        <v/>
      </c>
      <c r="K123" s="4" t="b">
        <f>AND(F122,F123,F125,F126,F129,F130,F136,F142,F150,F151,F152,F153,F161,F163,F164,F165,F170,F171,F172,F173,OR(F155,F156))</f>
        <v>0</v>
      </c>
      <c r="L123" s="4" t="b">
        <f>AND(OR(F122,I122),OR(F123,I123),OR(F125,I125),OR(F126,I126),OR(F129,I129),OR(F130,I130),OR(F136,I136),OR(F142,I142),OR(F150,I150),OR(F151,I151),OR(F152,I152),OR(F153,I153),OR(F161,I161),OR(F163,I163),OR(F164,I164),OR(F165,I165),OR(F170,I170),OR(F171,I171),OR(F172,I172),OR(F173,I173),OR(F155,I155,F156,I156))</f>
        <v>0</v>
      </c>
    </row>
    <row r="124" spans="2:12" x14ac:dyDescent="0.2">
      <c r="B124" s="30"/>
      <c r="C124" s="18" t="s">
        <v>140</v>
      </c>
      <c r="D124" s="34">
        <v>2</v>
      </c>
      <c r="E124" s="16" t="s">
        <v>14</v>
      </c>
      <c r="F124" s="12">
        <f t="shared" si="29"/>
        <v>0</v>
      </c>
      <c r="G124" s="12">
        <f t="shared" si="30"/>
        <v>0</v>
      </c>
      <c r="H124" s="16" t="s">
        <v>14</v>
      </c>
      <c r="I124" s="12">
        <f t="shared" si="31"/>
        <v>0</v>
      </c>
      <c r="J124" s="36" t="str">
        <f t="shared" si="32"/>
        <v/>
      </c>
      <c r="K124" s="323" t="s">
        <v>772</v>
      </c>
      <c r="L124" s="324"/>
    </row>
    <row r="125" spans="2:12" x14ac:dyDescent="0.2">
      <c r="B125" s="29" t="s">
        <v>141</v>
      </c>
      <c r="C125" s="18" t="s">
        <v>142</v>
      </c>
      <c r="D125" s="34">
        <v>2</v>
      </c>
      <c r="E125" s="16" t="s">
        <v>14</v>
      </c>
      <c r="F125" s="12">
        <f t="shared" si="29"/>
        <v>0</v>
      </c>
      <c r="G125" s="12">
        <f t="shared" si="30"/>
        <v>0</v>
      </c>
      <c r="H125" s="16" t="s">
        <v>14</v>
      </c>
      <c r="I125" s="12">
        <f t="shared" si="31"/>
        <v>0</v>
      </c>
      <c r="J125" s="36" t="str">
        <f t="shared" si="32"/>
        <v/>
      </c>
      <c r="K125" s="4" t="b">
        <f>AND(F121&gt;=77)</f>
        <v>0</v>
      </c>
      <c r="L125" s="4" t="b">
        <f>AND((I121+F121)&gt;=77)</f>
        <v>0</v>
      </c>
    </row>
    <row r="126" spans="2:12" x14ac:dyDescent="0.2">
      <c r="B126" s="29" t="s">
        <v>141</v>
      </c>
      <c r="C126" s="18" t="s">
        <v>143</v>
      </c>
      <c r="D126" s="34">
        <v>2</v>
      </c>
      <c r="E126" s="16" t="s">
        <v>14</v>
      </c>
      <c r="F126" s="12">
        <f t="shared" si="29"/>
        <v>0</v>
      </c>
      <c r="G126" s="12">
        <f t="shared" si="30"/>
        <v>0</v>
      </c>
      <c r="H126" s="16" t="s">
        <v>14</v>
      </c>
      <c r="I126" s="12">
        <f t="shared" si="31"/>
        <v>0</v>
      </c>
      <c r="J126" s="36" t="str">
        <f t="shared" si="32"/>
        <v/>
      </c>
    </row>
    <row r="127" spans="2:12" x14ac:dyDescent="0.2">
      <c r="B127" s="29"/>
      <c r="C127" s="18" t="s">
        <v>144</v>
      </c>
      <c r="D127" s="34">
        <v>2</v>
      </c>
      <c r="E127" s="16" t="s">
        <v>14</v>
      </c>
      <c r="F127" s="12">
        <f t="shared" si="29"/>
        <v>0</v>
      </c>
      <c r="G127" s="12">
        <f t="shared" si="30"/>
        <v>0</v>
      </c>
      <c r="H127" s="16" t="s">
        <v>14</v>
      </c>
      <c r="I127" s="12">
        <f t="shared" si="31"/>
        <v>0</v>
      </c>
      <c r="J127" s="36" t="str">
        <f t="shared" si="32"/>
        <v/>
      </c>
      <c r="K127" s="5" t="s">
        <v>706</v>
      </c>
      <c r="L127" s="262" t="str">
        <f>IF(COUNTIF(J122:J174,"×"),"重複","履修可")</f>
        <v>履修可</v>
      </c>
    </row>
    <row r="128" spans="2:12" x14ac:dyDescent="0.2">
      <c r="B128" s="29"/>
      <c r="C128" s="18" t="s">
        <v>145</v>
      </c>
      <c r="D128" s="34">
        <v>2</v>
      </c>
      <c r="E128" s="16" t="s">
        <v>14</v>
      </c>
      <c r="F128" s="12">
        <f t="shared" si="29"/>
        <v>0</v>
      </c>
      <c r="G128" s="12">
        <f t="shared" si="30"/>
        <v>0</v>
      </c>
      <c r="H128" s="16" t="s">
        <v>14</v>
      </c>
      <c r="I128" s="12">
        <f t="shared" si="31"/>
        <v>0</v>
      </c>
      <c r="J128" s="36" t="str">
        <f t="shared" si="32"/>
        <v/>
      </c>
    </row>
    <row r="129" spans="2:10" x14ac:dyDescent="0.2">
      <c r="B129" s="29" t="s">
        <v>141</v>
      </c>
      <c r="C129" s="18" t="s">
        <v>146</v>
      </c>
      <c r="D129" s="34">
        <v>2</v>
      </c>
      <c r="E129" s="16" t="s">
        <v>14</v>
      </c>
      <c r="F129" s="12">
        <f t="shared" si="29"/>
        <v>0</v>
      </c>
      <c r="G129" s="12">
        <f t="shared" si="30"/>
        <v>0</v>
      </c>
      <c r="H129" s="16" t="s">
        <v>14</v>
      </c>
      <c r="I129" s="12">
        <f t="shared" si="31"/>
        <v>0</v>
      </c>
      <c r="J129" s="36" t="str">
        <f t="shared" si="32"/>
        <v/>
      </c>
    </row>
    <row r="130" spans="2:10" x14ac:dyDescent="0.2">
      <c r="B130" s="29" t="s">
        <v>141</v>
      </c>
      <c r="C130" s="18" t="s">
        <v>147</v>
      </c>
      <c r="D130" s="34">
        <v>2</v>
      </c>
      <c r="E130" s="16" t="s">
        <v>14</v>
      </c>
      <c r="F130" s="12">
        <f t="shared" si="29"/>
        <v>0</v>
      </c>
      <c r="G130" s="12">
        <f t="shared" si="30"/>
        <v>0</v>
      </c>
      <c r="H130" s="16" t="s">
        <v>14</v>
      </c>
      <c r="I130" s="12">
        <f t="shared" si="31"/>
        <v>0</v>
      </c>
      <c r="J130" s="36" t="str">
        <f t="shared" si="32"/>
        <v/>
      </c>
    </row>
    <row r="131" spans="2:10" x14ac:dyDescent="0.2">
      <c r="B131" s="29"/>
      <c r="C131" s="18" t="s">
        <v>148</v>
      </c>
      <c r="D131" s="34">
        <v>2</v>
      </c>
      <c r="E131" s="16" t="s">
        <v>14</v>
      </c>
      <c r="F131" s="12">
        <f t="shared" si="29"/>
        <v>0</v>
      </c>
      <c r="G131" s="12">
        <f t="shared" si="30"/>
        <v>0</v>
      </c>
      <c r="H131" s="16" t="s">
        <v>14</v>
      </c>
      <c r="I131" s="12">
        <f t="shared" si="31"/>
        <v>0</v>
      </c>
      <c r="J131" s="36" t="str">
        <f t="shared" si="32"/>
        <v/>
      </c>
    </row>
    <row r="132" spans="2:10" x14ac:dyDescent="0.2">
      <c r="B132" s="29"/>
      <c r="C132" s="18" t="s">
        <v>149</v>
      </c>
      <c r="D132" s="34">
        <v>2</v>
      </c>
      <c r="E132" s="16" t="s">
        <v>14</v>
      </c>
      <c r="F132" s="12">
        <f t="shared" si="29"/>
        <v>0</v>
      </c>
      <c r="G132" s="12">
        <f t="shared" si="30"/>
        <v>0</v>
      </c>
      <c r="H132" s="16" t="s">
        <v>14</v>
      </c>
      <c r="I132" s="12">
        <f t="shared" si="31"/>
        <v>0</v>
      </c>
      <c r="J132" s="36" t="str">
        <f t="shared" si="32"/>
        <v/>
      </c>
    </row>
    <row r="133" spans="2:10" x14ac:dyDescent="0.2">
      <c r="B133" s="29"/>
      <c r="C133" s="18" t="s">
        <v>150</v>
      </c>
      <c r="D133" s="34">
        <v>2</v>
      </c>
      <c r="E133" s="16" t="s">
        <v>14</v>
      </c>
      <c r="F133" s="12">
        <f t="shared" si="29"/>
        <v>0</v>
      </c>
      <c r="G133" s="12">
        <f t="shared" si="30"/>
        <v>0</v>
      </c>
      <c r="H133" s="16" t="s">
        <v>14</v>
      </c>
      <c r="I133" s="12">
        <f t="shared" si="31"/>
        <v>0</v>
      </c>
      <c r="J133" s="36" t="str">
        <f t="shared" si="32"/>
        <v/>
      </c>
    </row>
    <row r="134" spans="2:10" x14ac:dyDescent="0.2">
      <c r="B134" s="29"/>
      <c r="C134" s="18" t="s">
        <v>151</v>
      </c>
      <c r="D134" s="34">
        <v>2</v>
      </c>
      <c r="E134" s="16" t="s">
        <v>14</v>
      </c>
      <c r="F134" s="12">
        <f t="shared" si="29"/>
        <v>0</v>
      </c>
      <c r="G134" s="12">
        <f t="shared" si="30"/>
        <v>0</v>
      </c>
      <c r="H134" s="16" t="s">
        <v>14</v>
      </c>
      <c r="I134" s="12">
        <f t="shared" si="31"/>
        <v>0</v>
      </c>
      <c r="J134" s="36" t="str">
        <f t="shared" si="32"/>
        <v/>
      </c>
    </row>
    <row r="135" spans="2:10" x14ac:dyDescent="0.2">
      <c r="B135" s="29"/>
      <c r="C135" s="18" t="s">
        <v>152</v>
      </c>
      <c r="D135" s="34">
        <v>2</v>
      </c>
      <c r="E135" s="16" t="s">
        <v>14</v>
      </c>
      <c r="F135" s="12">
        <f t="shared" si="29"/>
        <v>0</v>
      </c>
      <c r="G135" s="12">
        <f t="shared" si="30"/>
        <v>0</v>
      </c>
      <c r="H135" s="16" t="s">
        <v>14</v>
      </c>
      <c r="I135" s="12">
        <f t="shared" si="31"/>
        <v>0</v>
      </c>
      <c r="J135" s="36" t="str">
        <f t="shared" si="32"/>
        <v/>
      </c>
    </row>
    <row r="136" spans="2:10" x14ac:dyDescent="0.2">
      <c r="B136" s="29" t="s">
        <v>141</v>
      </c>
      <c r="C136" s="18" t="s">
        <v>153</v>
      </c>
      <c r="D136" s="34">
        <v>2</v>
      </c>
      <c r="E136" s="16" t="s">
        <v>14</v>
      </c>
      <c r="F136" s="12">
        <f t="shared" si="29"/>
        <v>0</v>
      </c>
      <c r="G136" s="12">
        <f t="shared" si="30"/>
        <v>0</v>
      </c>
      <c r="H136" s="16" t="s">
        <v>14</v>
      </c>
      <c r="I136" s="12">
        <f t="shared" si="31"/>
        <v>0</v>
      </c>
      <c r="J136" s="36" t="str">
        <f t="shared" si="32"/>
        <v/>
      </c>
    </row>
    <row r="137" spans="2:10" x14ac:dyDescent="0.2">
      <c r="B137" s="29"/>
      <c r="C137" s="18" t="s">
        <v>154</v>
      </c>
      <c r="D137" s="34">
        <v>2</v>
      </c>
      <c r="E137" s="16" t="s">
        <v>14</v>
      </c>
      <c r="F137" s="12">
        <f t="shared" si="29"/>
        <v>0</v>
      </c>
      <c r="G137" s="12">
        <f t="shared" si="30"/>
        <v>0</v>
      </c>
      <c r="H137" s="16" t="s">
        <v>14</v>
      </c>
      <c r="I137" s="12">
        <f t="shared" si="31"/>
        <v>0</v>
      </c>
      <c r="J137" s="36" t="str">
        <f t="shared" si="32"/>
        <v/>
      </c>
    </row>
    <row r="138" spans="2:10" x14ac:dyDescent="0.2">
      <c r="B138" s="29"/>
      <c r="C138" s="31" t="s">
        <v>155</v>
      </c>
      <c r="D138" s="34">
        <v>2</v>
      </c>
      <c r="E138" s="16" t="s">
        <v>14</v>
      </c>
      <c r="F138" s="12">
        <f t="shared" si="29"/>
        <v>0</v>
      </c>
      <c r="G138" s="12">
        <f t="shared" si="30"/>
        <v>0</v>
      </c>
      <c r="H138" s="16" t="s">
        <v>14</v>
      </c>
      <c r="I138" s="12">
        <f t="shared" si="31"/>
        <v>0</v>
      </c>
      <c r="J138" s="36" t="str">
        <f t="shared" si="32"/>
        <v/>
      </c>
    </row>
    <row r="139" spans="2:10" x14ac:dyDescent="0.2">
      <c r="B139" s="29"/>
      <c r="C139" s="18" t="s">
        <v>156</v>
      </c>
      <c r="D139" s="34">
        <v>2</v>
      </c>
      <c r="E139" s="16" t="s">
        <v>14</v>
      </c>
      <c r="F139" s="12">
        <f t="shared" si="29"/>
        <v>0</v>
      </c>
      <c r="G139" s="12">
        <f t="shared" si="30"/>
        <v>0</v>
      </c>
      <c r="H139" s="16" t="s">
        <v>14</v>
      </c>
      <c r="I139" s="12">
        <f t="shared" si="31"/>
        <v>0</v>
      </c>
      <c r="J139" s="36" t="str">
        <f t="shared" si="32"/>
        <v/>
      </c>
    </row>
    <row r="140" spans="2:10" x14ac:dyDescent="0.2">
      <c r="B140" s="29"/>
      <c r="C140" s="18" t="s">
        <v>157</v>
      </c>
      <c r="D140" s="34">
        <v>2</v>
      </c>
      <c r="E140" s="16" t="s">
        <v>14</v>
      </c>
      <c r="F140" s="12">
        <f t="shared" si="29"/>
        <v>0</v>
      </c>
      <c r="G140" s="12">
        <f t="shared" si="30"/>
        <v>0</v>
      </c>
      <c r="H140" s="16" t="s">
        <v>14</v>
      </c>
      <c r="I140" s="12">
        <f t="shared" si="31"/>
        <v>0</v>
      </c>
      <c r="J140" s="36" t="str">
        <f t="shared" si="32"/>
        <v/>
      </c>
    </row>
    <row r="141" spans="2:10" x14ac:dyDescent="0.2">
      <c r="B141" s="29"/>
      <c r="C141" s="18" t="s">
        <v>158</v>
      </c>
      <c r="D141" s="34">
        <v>2</v>
      </c>
      <c r="E141" s="16" t="s">
        <v>14</v>
      </c>
      <c r="F141" s="12">
        <f t="shared" si="29"/>
        <v>0</v>
      </c>
      <c r="G141" s="12">
        <f t="shared" si="30"/>
        <v>0</v>
      </c>
      <c r="H141" s="16" t="s">
        <v>14</v>
      </c>
      <c r="I141" s="12">
        <f t="shared" si="31"/>
        <v>0</v>
      </c>
      <c r="J141" s="36" t="str">
        <f t="shared" si="32"/>
        <v/>
      </c>
    </row>
    <row r="142" spans="2:10" x14ac:dyDescent="0.2">
      <c r="B142" s="29" t="s">
        <v>141</v>
      </c>
      <c r="C142" s="18" t="s">
        <v>159</v>
      </c>
      <c r="D142" s="34">
        <v>2</v>
      </c>
      <c r="E142" s="16" t="s">
        <v>14</v>
      </c>
      <c r="F142" s="12">
        <f t="shared" si="29"/>
        <v>0</v>
      </c>
      <c r="G142" s="12">
        <f t="shared" si="30"/>
        <v>0</v>
      </c>
      <c r="H142" s="16" t="s">
        <v>14</v>
      </c>
      <c r="I142" s="12">
        <f t="shared" si="31"/>
        <v>0</v>
      </c>
      <c r="J142" s="36" t="str">
        <f t="shared" si="32"/>
        <v/>
      </c>
    </row>
    <row r="143" spans="2:10" x14ac:dyDescent="0.2">
      <c r="B143" s="29"/>
      <c r="C143" s="18" t="s">
        <v>160</v>
      </c>
      <c r="D143" s="34">
        <v>2</v>
      </c>
      <c r="E143" s="16" t="s">
        <v>14</v>
      </c>
      <c r="F143" s="12">
        <f t="shared" si="29"/>
        <v>0</v>
      </c>
      <c r="G143" s="12">
        <f t="shared" si="30"/>
        <v>0</v>
      </c>
      <c r="H143" s="16" t="s">
        <v>14</v>
      </c>
      <c r="I143" s="12">
        <f t="shared" si="31"/>
        <v>0</v>
      </c>
      <c r="J143" s="36" t="str">
        <f t="shared" si="32"/>
        <v/>
      </c>
    </row>
    <row r="144" spans="2:10" x14ac:dyDescent="0.2">
      <c r="B144" s="29"/>
      <c r="C144" s="18" t="s">
        <v>161</v>
      </c>
      <c r="D144" s="34">
        <v>2</v>
      </c>
      <c r="E144" s="16" t="s">
        <v>14</v>
      </c>
      <c r="F144" s="12">
        <f t="shared" si="29"/>
        <v>0</v>
      </c>
      <c r="G144" s="12">
        <f t="shared" si="30"/>
        <v>0</v>
      </c>
      <c r="H144" s="16" t="s">
        <v>14</v>
      </c>
      <c r="I144" s="12">
        <f t="shared" si="31"/>
        <v>0</v>
      </c>
      <c r="J144" s="36" t="str">
        <f t="shared" si="32"/>
        <v/>
      </c>
    </row>
    <row r="145" spans="2:10" x14ac:dyDescent="0.2">
      <c r="B145" s="29"/>
      <c r="C145" s="18" t="s">
        <v>162</v>
      </c>
      <c r="D145" s="34">
        <v>2</v>
      </c>
      <c r="E145" s="16" t="s">
        <v>14</v>
      </c>
      <c r="F145" s="12">
        <f t="shared" si="29"/>
        <v>0</v>
      </c>
      <c r="G145" s="12">
        <f t="shared" si="30"/>
        <v>0</v>
      </c>
      <c r="H145" s="16" t="s">
        <v>14</v>
      </c>
      <c r="I145" s="12">
        <f t="shared" si="31"/>
        <v>0</v>
      </c>
      <c r="J145" s="36" t="str">
        <f t="shared" si="32"/>
        <v/>
      </c>
    </row>
    <row r="146" spans="2:10" x14ac:dyDescent="0.2">
      <c r="B146" s="30"/>
      <c r="C146" s="18" t="s">
        <v>163</v>
      </c>
      <c r="D146" s="34">
        <v>2</v>
      </c>
      <c r="E146" s="16" t="s">
        <v>14</v>
      </c>
      <c r="F146" s="12">
        <f t="shared" si="29"/>
        <v>0</v>
      </c>
      <c r="G146" s="12">
        <f t="shared" si="30"/>
        <v>0</v>
      </c>
      <c r="H146" s="16" t="s">
        <v>14</v>
      </c>
      <c r="I146" s="12">
        <f t="shared" si="31"/>
        <v>0</v>
      </c>
      <c r="J146" s="36" t="str">
        <f t="shared" si="32"/>
        <v/>
      </c>
    </row>
    <row r="147" spans="2:10" x14ac:dyDescent="0.2">
      <c r="B147" s="30"/>
      <c r="C147" s="18" t="s">
        <v>164</v>
      </c>
      <c r="D147" s="34">
        <v>2</v>
      </c>
      <c r="E147" s="16" t="s">
        <v>14</v>
      </c>
      <c r="F147" s="12">
        <f t="shared" si="29"/>
        <v>0</v>
      </c>
      <c r="G147" s="12">
        <f t="shared" si="30"/>
        <v>0</v>
      </c>
      <c r="H147" s="16" t="s">
        <v>14</v>
      </c>
      <c r="I147" s="12">
        <f t="shared" si="31"/>
        <v>0</v>
      </c>
      <c r="J147" s="36" t="str">
        <f t="shared" si="32"/>
        <v/>
      </c>
    </row>
    <row r="148" spans="2:10" x14ac:dyDescent="0.2">
      <c r="B148" s="30"/>
      <c r="C148" s="18" t="s">
        <v>165</v>
      </c>
      <c r="D148" s="34">
        <v>2</v>
      </c>
      <c r="E148" s="16" t="s">
        <v>14</v>
      </c>
      <c r="F148" s="12">
        <f t="shared" si="29"/>
        <v>0</v>
      </c>
      <c r="G148" s="12">
        <f t="shared" si="30"/>
        <v>0</v>
      </c>
      <c r="H148" s="16" t="s">
        <v>14</v>
      </c>
      <c r="I148" s="12">
        <f t="shared" si="31"/>
        <v>0</v>
      </c>
      <c r="J148" s="36" t="str">
        <f t="shared" si="32"/>
        <v/>
      </c>
    </row>
    <row r="149" spans="2:10" x14ac:dyDescent="0.2">
      <c r="B149" s="30"/>
      <c r="C149" s="18" t="s">
        <v>166</v>
      </c>
      <c r="D149" s="34">
        <v>2</v>
      </c>
      <c r="E149" s="16" t="s">
        <v>14</v>
      </c>
      <c r="F149" s="12">
        <f t="shared" si="29"/>
        <v>0</v>
      </c>
      <c r="G149" s="12">
        <f t="shared" si="30"/>
        <v>0</v>
      </c>
      <c r="H149" s="16" t="s">
        <v>14</v>
      </c>
      <c r="I149" s="12">
        <f t="shared" si="31"/>
        <v>0</v>
      </c>
      <c r="J149" s="36" t="str">
        <f t="shared" si="32"/>
        <v/>
      </c>
    </row>
    <row r="150" spans="2:10" x14ac:dyDescent="0.2">
      <c r="B150" s="29" t="s">
        <v>137</v>
      </c>
      <c r="C150" s="18" t="s">
        <v>167</v>
      </c>
      <c r="D150" s="34">
        <v>3</v>
      </c>
      <c r="E150" s="16" t="s">
        <v>14</v>
      </c>
      <c r="F150" s="12">
        <f t="shared" si="29"/>
        <v>0</v>
      </c>
      <c r="G150" s="12">
        <f t="shared" si="30"/>
        <v>0</v>
      </c>
      <c r="H150" s="16" t="s">
        <v>14</v>
      </c>
      <c r="I150" s="12">
        <f t="shared" si="31"/>
        <v>0</v>
      </c>
      <c r="J150" s="36" t="str">
        <f t="shared" si="32"/>
        <v/>
      </c>
    </row>
    <row r="151" spans="2:10" x14ac:dyDescent="0.2">
      <c r="B151" s="29" t="s">
        <v>137</v>
      </c>
      <c r="C151" s="18" t="s">
        <v>168</v>
      </c>
      <c r="D151" s="34">
        <v>3</v>
      </c>
      <c r="E151" s="16" t="s">
        <v>14</v>
      </c>
      <c r="F151" s="12">
        <f t="shared" si="29"/>
        <v>0</v>
      </c>
      <c r="G151" s="12">
        <f t="shared" si="30"/>
        <v>0</v>
      </c>
      <c r="H151" s="16" t="s">
        <v>14</v>
      </c>
      <c r="I151" s="12">
        <f t="shared" si="31"/>
        <v>0</v>
      </c>
      <c r="J151" s="36" t="str">
        <f t="shared" si="32"/>
        <v/>
      </c>
    </row>
    <row r="152" spans="2:10" x14ac:dyDescent="0.2">
      <c r="B152" s="29" t="s">
        <v>137</v>
      </c>
      <c r="C152" s="18" t="s">
        <v>169</v>
      </c>
      <c r="D152" s="34">
        <v>2</v>
      </c>
      <c r="E152" s="16" t="s">
        <v>14</v>
      </c>
      <c r="F152" s="12">
        <f t="shared" si="29"/>
        <v>0</v>
      </c>
      <c r="G152" s="12">
        <f t="shared" si="30"/>
        <v>0</v>
      </c>
      <c r="H152" s="16" t="s">
        <v>14</v>
      </c>
      <c r="I152" s="12">
        <f t="shared" si="31"/>
        <v>0</v>
      </c>
      <c r="J152" s="36" t="str">
        <f t="shared" si="32"/>
        <v/>
      </c>
    </row>
    <row r="153" spans="2:10" x14ac:dyDescent="0.2">
      <c r="B153" s="29" t="s">
        <v>141</v>
      </c>
      <c r="C153" s="18" t="s">
        <v>170</v>
      </c>
      <c r="D153" s="34">
        <v>2</v>
      </c>
      <c r="E153" s="16" t="s">
        <v>14</v>
      </c>
      <c r="F153" s="12">
        <f t="shared" si="29"/>
        <v>0</v>
      </c>
      <c r="G153" s="12">
        <f t="shared" si="30"/>
        <v>0</v>
      </c>
      <c r="H153" s="16" t="s">
        <v>14</v>
      </c>
      <c r="I153" s="12">
        <f t="shared" si="31"/>
        <v>0</v>
      </c>
      <c r="J153" s="36" t="str">
        <f t="shared" si="32"/>
        <v/>
      </c>
    </row>
    <row r="154" spans="2:10" x14ac:dyDescent="0.2">
      <c r="B154" s="29"/>
      <c r="C154" s="18" t="s">
        <v>171</v>
      </c>
      <c r="D154" s="34">
        <v>2</v>
      </c>
      <c r="E154" s="16" t="s">
        <v>14</v>
      </c>
      <c r="F154" s="12">
        <f t="shared" si="29"/>
        <v>0</v>
      </c>
      <c r="G154" s="12">
        <f t="shared" si="30"/>
        <v>0</v>
      </c>
      <c r="H154" s="16" t="s">
        <v>14</v>
      </c>
      <c r="I154" s="12">
        <f t="shared" si="31"/>
        <v>0</v>
      </c>
      <c r="J154" s="36" t="str">
        <f t="shared" si="32"/>
        <v/>
      </c>
    </row>
    <row r="155" spans="2:10" x14ac:dyDescent="0.2">
      <c r="B155" s="29" t="s">
        <v>172</v>
      </c>
      <c r="C155" s="18" t="s">
        <v>173</v>
      </c>
      <c r="D155" s="34">
        <v>2</v>
      </c>
      <c r="E155" s="16" t="s">
        <v>14</v>
      </c>
      <c r="F155" s="12">
        <f t="shared" si="29"/>
        <v>0</v>
      </c>
      <c r="G155" s="12">
        <f t="shared" si="30"/>
        <v>0</v>
      </c>
      <c r="H155" s="16" t="s">
        <v>14</v>
      </c>
      <c r="I155" s="12">
        <f t="shared" ref="I155:I173" si="33">IF(CODE(H155)=82,D155,0)</f>
        <v>0</v>
      </c>
      <c r="J155" s="36" t="str">
        <f t="shared" si="32"/>
        <v/>
      </c>
    </row>
    <row r="156" spans="2:10" x14ac:dyDescent="0.2">
      <c r="B156" s="29" t="s">
        <v>172</v>
      </c>
      <c r="C156" s="18" t="s">
        <v>174</v>
      </c>
      <c r="D156" s="34">
        <v>2</v>
      </c>
      <c r="E156" s="16" t="s">
        <v>14</v>
      </c>
      <c r="F156" s="12">
        <f t="shared" si="29"/>
        <v>0</v>
      </c>
      <c r="G156" s="12">
        <f t="shared" si="30"/>
        <v>0</v>
      </c>
      <c r="H156" s="16" t="s">
        <v>14</v>
      </c>
      <c r="I156" s="12">
        <f t="shared" si="33"/>
        <v>0</v>
      </c>
      <c r="J156" s="36" t="str">
        <f t="shared" si="32"/>
        <v/>
      </c>
    </row>
    <row r="157" spans="2:10" x14ac:dyDescent="0.2">
      <c r="B157" s="30"/>
      <c r="C157" s="18" t="s">
        <v>175</v>
      </c>
      <c r="D157" s="34">
        <v>2</v>
      </c>
      <c r="E157" s="16" t="s">
        <v>14</v>
      </c>
      <c r="F157" s="12">
        <f t="shared" si="29"/>
        <v>0</v>
      </c>
      <c r="G157" s="12">
        <f t="shared" si="30"/>
        <v>0</v>
      </c>
      <c r="H157" s="16" t="s">
        <v>14</v>
      </c>
      <c r="I157" s="12">
        <f t="shared" si="33"/>
        <v>0</v>
      </c>
      <c r="J157" s="36" t="str">
        <f t="shared" si="32"/>
        <v/>
      </c>
    </row>
    <row r="158" spans="2:10" x14ac:dyDescent="0.2">
      <c r="B158" s="29"/>
      <c r="C158" s="18" t="s">
        <v>176</v>
      </c>
      <c r="D158" s="34">
        <v>2</v>
      </c>
      <c r="E158" s="16" t="s">
        <v>14</v>
      </c>
      <c r="F158" s="12">
        <f t="shared" si="29"/>
        <v>0</v>
      </c>
      <c r="G158" s="12">
        <f t="shared" si="30"/>
        <v>0</v>
      </c>
      <c r="H158" s="16" t="s">
        <v>14</v>
      </c>
      <c r="I158" s="12">
        <f t="shared" si="33"/>
        <v>0</v>
      </c>
      <c r="J158" s="36" t="str">
        <f t="shared" si="32"/>
        <v/>
      </c>
    </row>
    <row r="159" spans="2:10" x14ac:dyDescent="0.2">
      <c r="B159" s="29"/>
      <c r="C159" s="18" t="s">
        <v>177</v>
      </c>
      <c r="D159" s="34">
        <v>2</v>
      </c>
      <c r="E159" s="16" t="s">
        <v>14</v>
      </c>
      <c r="F159" s="12">
        <f t="shared" si="29"/>
        <v>0</v>
      </c>
      <c r="G159" s="12">
        <f t="shared" si="30"/>
        <v>0</v>
      </c>
      <c r="H159" s="16" t="s">
        <v>14</v>
      </c>
      <c r="I159" s="12">
        <f t="shared" si="33"/>
        <v>0</v>
      </c>
      <c r="J159" s="36" t="str">
        <f t="shared" si="32"/>
        <v/>
      </c>
    </row>
    <row r="160" spans="2:10" x14ac:dyDescent="0.2">
      <c r="B160" s="29"/>
      <c r="C160" s="18" t="s">
        <v>178</v>
      </c>
      <c r="D160" s="34">
        <v>2</v>
      </c>
      <c r="E160" s="16" t="s">
        <v>14</v>
      </c>
      <c r="F160" s="12">
        <f t="shared" si="29"/>
        <v>0</v>
      </c>
      <c r="G160" s="12">
        <f t="shared" si="30"/>
        <v>0</v>
      </c>
      <c r="H160" s="16" t="s">
        <v>14</v>
      </c>
      <c r="I160" s="12">
        <f t="shared" si="33"/>
        <v>0</v>
      </c>
      <c r="J160" s="36" t="str">
        <f t="shared" si="32"/>
        <v/>
      </c>
    </row>
    <row r="161" spans="2:10" x14ac:dyDescent="0.2">
      <c r="B161" s="29" t="s">
        <v>141</v>
      </c>
      <c r="C161" s="31" t="s">
        <v>179</v>
      </c>
      <c r="D161" s="35">
        <v>2</v>
      </c>
      <c r="E161" s="16" t="s">
        <v>14</v>
      </c>
      <c r="F161" s="12">
        <f t="shared" si="29"/>
        <v>0</v>
      </c>
      <c r="G161" s="12">
        <f t="shared" si="30"/>
        <v>0</v>
      </c>
      <c r="H161" s="16" t="s">
        <v>14</v>
      </c>
      <c r="I161" s="12">
        <f t="shared" si="33"/>
        <v>0</v>
      </c>
      <c r="J161" s="36" t="str">
        <f t="shared" si="32"/>
        <v/>
      </c>
    </row>
    <row r="162" spans="2:10" x14ac:dyDescent="0.2">
      <c r="B162" s="29"/>
      <c r="C162" s="18" t="s">
        <v>180</v>
      </c>
      <c r="D162" s="34">
        <v>2</v>
      </c>
      <c r="E162" s="16" t="s">
        <v>14</v>
      </c>
      <c r="F162" s="12">
        <f t="shared" si="29"/>
        <v>0</v>
      </c>
      <c r="G162" s="12">
        <f t="shared" si="30"/>
        <v>0</v>
      </c>
      <c r="H162" s="16" t="s">
        <v>14</v>
      </c>
      <c r="I162" s="12">
        <f t="shared" si="33"/>
        <v>0</v>
      </c>
      <c r="J162" s="36" t="str">
        <f t="shared" si="32"/>
        <v/>
      </c>
    </row>
    <row r="163" spans="2:10" x14ac:dyDescent="0.2">
      <c r="B163" s="29" t="s">
        <v>137</v>
      </c>
      <c r="C163" s="18" t="s">
        <v>181</v>
      </c>
      <c r="D163" s="34">
        <v>3</v>
      </c>
      <c r="E163" s="16" t="s">
        <v>14</v>
      </c>
      <c r="F163" s="12">
        <f t="shared" si="29"/>
        <v>0</v>
      </c>
      <c r="G163" s="12">
        <f t="shared" si="30"/>
        <v>0</v>
      </c>
      <c r="H163" s="16" t="s">
        <v>14</v>
      </c>
      <c r="I163" s="12">
        <f t="shared" si="33"/>
        <v>0</v>
      </c>
      <c r="J163" s="36" t="str">
        <f t="shared" si="32"/>
        <v/>
      </c>
    </row>
    <row r="164" spans="2:10" x14ac:dyDescent="0.2">
      <c r="B164" s="29" t="s">
        <v>137</v>
      </c>
      <c r="C164" s="18" t="s">
        <v>182</v>
      </c>
      <c r="D164" s="34">
        <v>3</v>
      </c>
      <c r="E164" s="16" t="s">
        <v>14</v>
      </c>
      <c r="F164" s="12">
        <f t="shared" si="29"/>
        <v>0</v>
      </c>
      <c r="G164" s="12">
        <f t="shared" si="30"/>
        <v>0</v>
      </c>
      <c r="H164" s="16" t="s">
        <v>14</v>
      </c>
      <c r="I164" s="12">
        <f t="shared" si="33"/>
        <v>0</v>
      </c>
      <c r="J164" s="36" t="str">
        <f t="shared" si="32"/>
        <v/>
      </c>
    </row>
    <row r="165" spans="2:10" x14ac:dyDescent="0.2">
      <c r="B165" s="29" t="s">
        <v>141</v>
      </c>
      <c r="C165" s="18" t="s">
        <v>183</v>
      </c>
      <c r="D165" s="34">
        <v>2</v>
      </c>
      <c r="E165" s="16" t="s">
        <v>14</v>
      </c>
      <c r="F165" s="12">
        <f t="shared" si="29"/>
        <v>0</v>
      </c>
      <c r="G165" s="12">
        <f t="shared" si="30"/>
        <v>0</v>
      </c>
      <c r="H165" s="16" t="s">
        <v>14</v>
      </c>
      <c r="I165" s="12">
        <f t="shared" si="33"/>
        <v>0</v>
      </c>
      <c r="J165" s="36" t="str">
        <f t="shared" si="32"/>
        <v/>
      </c>
    </row>
    <row r="166" spans="2:10" x14ac:dyDescent="0.2">
      <c r="B166" s="29"/>
      <c r="C166" s="18" t="s">
        <v>184</v>
      </c>
      <c r="D166" s="34">
        <v>2</v>
      </c>
      <c r="E166" s="16" t="s">
        <v>14</v>
      </c>
      <c r="F166" s="12">
        <f t="shared" si="29"/>
        <v>0</v>
      </c>
      <c r="G166" s="12">
        <f t="shared" si="30"/>
        <v>0</v>
      </c>
      <c r="H166" s="16" t="s">
        <v>14</v>
      </c>
      <c r="I166" s="12">
        <f t="shared" si="33"/>
        <v>0</v>
      </c>
      <c r="J166" s="36" t="str">
        <f t="shared" si="32"/>
        <v/>
      </c>
    </row>
    <row r="167" spans="2:10" x14ac:dyDescent="0.2">
      <c r="B167" s="29"/>
      <c r="C167" s="18" t="s">
        <v>185</v>
      </c>
      <c r="D167" s="34">
        <v>2</v>
      </c>
      <c r="E167" s="16" t="s">
        <v>14</v>
      </c>
      <c r="F167" s="12">
        <f t="shared" si="29"/>
        <v>0</v>
      </c>
      <c r="G167" s="12">
        <f t="shared" si="30"/>
        <v>0</v>
      </c>
      <c r="H167" s="16" t="s">
        <v>14</v>
      </c>
      <c r="I167" s="12">
        <f t="shared" si="33"/>
        <v>0</v>
      </c>
      <c r="J167" s="36" t="str">
        <f t="shared" si="32"/>
        <v/>
      </c>
    </row>
    <row r="168" spans="2:10" x14ac:dyDescent="0.2">
      <c r="B168" s="29"/>
      <c r="C168" s="18" t="s">
        <v>186</v>
      </c>
      <c r="D168" s="34">
        <v>2</v>
      </c>
      <c r="E168" s="16" t="s">
        <v>14</v>
      </c>
      <c r="F168" s="12">
        <f t="shared" si="29"/>
        <v>0</v>
      </c>
      <c r="G168" s="12">
        <f t="shared" si="30"/>
        <v>0</v>
      </c>
      <c r="H168" s="16" t="s">
        <v>14</v>
      </c>
      <c r="I168" s="12">
        <f t="shared" si="33"/>
        <v>0</v>
      </c>
      <c r="J168" s="36" t="str">
        <f t="shared" si="32"/>
        <v/>
      </c>
    </row>
    <row r="169" spans="2:10" x14ac:dyDescent="0.2">
      <c r="B169" s="29"/>
      <c r="C169" s="18" t="s">
        <v>187</v>
      </c>
      <c r="D169" s="34">
        <v>1</v>
      </c>
      <c r="E169" s="16" t="s">
        <v>14</v>
      </c>
      <c r="F169" s="12">
        <f t="shared" si="29"/>
        <v>0</v>
      </c>
      <c r="G169" s="12">
        <f t="shared" si="30"/>
        <v>0</v>
      </c>
      <c r="H169" s="16" t="s">
        <v>14</v>
      </c>
      <c r="I169" s="12">
        <f t="shared" si="33"/>
        <v>0</v>
      </c>
      <c r="J169" s="36" t="str">
        <f t="shared" si="32"/>
        <v/>
      </c>
    </row>
    <row r="170" spans="2:10" x14ac:dyDescent="0.2">
      <c r="B170" s="29" t="s">
        <v>141</v>
      </c>
      <c r="C170" s="18" t="s">
        <v>188</v>
      </c>
      <c r="D170" s="34">
        <v>2</v>
      </c>
      <c r="E170" s="16" t="s">
        <v>14</v>
      </c>
      <c r="F170" s="12">
        <f t="shared" si="29"/>
        <v>0</v>
      </c>
      <c r="G170" s="12">
        <f t="shared" si="30"/>
        <v>0</v>
      </c>
      <c r="H170" s="16" t="s">
        <v>14</v>
      </c>
      <c r="I170" s="12">
        <f t="shared" si="33"/>
        <v>0</v>
      </c>
      <c r="J170" s="36" t="str">
        <f t="shared" si="32"/>
        <v/>
      </c>
    </row>
    <row r="171" spans="2:10" x14ac:dyDescent="0.2">
      <c r="B171" s="29" t="s">
        <v>141</v>
      </c>
      <c r="C171" s="18" t="s">
        <v>189</v>
      </c>
      <c r="D171" s="34">
        <v>2</v>
      </c>
      <c r="E171" s="16" t="s">
        <v>14</v>
      </c>
      <c r="F171" s="12">
        <f t="shared" si="29"/>
        <v>0</v>
      </c>
      <c r="G171" s="12">
        <f t="shared" si="30"/>
        <v>0</v>
      </c>
      <c r="H171" s="16" t="s">
        <v>14</v>
      </c>
      <c r="I171" s="12">
        <f t="shared" si="33"/>
        <v>0</v>
      </c>
      <c r="J171" s="36" t="str">
        <f t="shared" si="32"/>
        <v/>
      </c>
    </row>
    <row r="172" spans="2:10" x14ac:dyDescent="0.2">
      <c r="B172" s="29" t="s">
        <v>141</v>
      </c>
      <c r="C172" s="18" t="s">
        <v>190</v>
      </c>
      <c r="D172" s="34">
        <v>4</v>
      </c>
      <c r="E172" s="16" t="s">
        <v>14</v>
      </c>
      <c r="F172" s="12">
        <f t="shared" si="29"/>
        <v>0</v>
      </c>
      <c r="G172" s="12">
        <f t="shared" si="30"/>
        <v>0</v>
      </c>
      <c r="H172" s="16" t="s">
        <v>14</v>
      </c>
      <c r="I172" s="12">
        <f t="shared" si="33"/>
        <v>0</v>
      </c>
      <c r="J172" s="36" t="str">
        <f t="shared" si="32"/>
        <v/>
      </c>
    </row>
    <row r="173" spans="2:10" x14ac:dyDescent="0.2">
      <c r="B173" s="29" t="s">
        <v>141</v>
      </c>
      <c r="C173" s="18" t="s">
        <v>191</v>
      </c>
      <c r="D173" s="34">
        <v>4</v>
      </c>
      <c r="E173" s="16" t="s">
        <v>14</v>
      </c>
      <c r="F173" s="12">
        <f t="shared" si="29"/>
        <v>0</v>
      </c>
      <c r="G173" s="12">
        <f t="shared" si="30"/>
        <v>0</v>
      </c>
      <c r="H173" s="16" t="s">
        <v>14</v>
      </c>
      <c r="I173" s="12">
        <f t="shared" si="33"/>
        <v>0</v>
      </c>
      <c r="J173" s="36" t="str">
        <f t="shared" si="32"/>
        <v/>
      </c>
    </row>
    <row r="174" spans="2:10" x14ac:dyDescent="0.2">
      <c r="B174" s="17"/>
      <c r="C174" s="41"/>
      <c r="D174" s="33"/>
      <c r="E174" s="16" t="s">
        <v>14</v>
      </c>
      <c r="F174" s="12"/>
      <c r="G174" s="12"/>
      <c r="H174" s="16"/>
      <c r="I174" s="12"/>
      <c r="J174" s="36" t="str">
        <f t="shared" si="32"/>
        <v/>
      </c>
    </row>
    <row r="175" spans="2:10" x14ac:dyDescent="0.2">
      <c r="C175"/>
      <c r="D175"/>
    </row>
    <row r="176" spans="2:10" x14ac:dyDescent="0.2">
      <c r="B176" s="328" t="s">
        <v>44</v>
      </c>
      <c r="C176" s="328"/>
      <c r="D176" s="328"/>
      <c r="E176" s="328"/>
      <c r="F176" s="328"/>
      <c r="G176" s="328"/>
      <c r="H176" s="328"/>
      <c r="I176" s="328"/>
    </row>
    <row r="177" spans="2:12" x14ac:dyDescent="0.2">
      <c r="B177" s="5"/>
      <c r="C177" s="42"/>
      <c r="D177" s="4" t="s">
        <v>222</v>
      </c>
      <c r="E177" s="7">
        <f>ROWS(E178:E183)-COUNTIF(E178:E183,"=―")-COUNTIF(E178:E183,"=F")</f>
        <v>0</v>
      </c>
      <c r="F177" s="43">
        <f>SUM(F178:F183)</f>
        <v>0</v>
      </c>
      <c r="G177" s="15">
        <f>SUM(G178:G183)</f>
        <v>0</v>
      </c>
      <c r="H177" s="7">
        <f>COUNTIF(H178:H183,"R")</f>
        <v>0</v>
      </c>
      <c r="I177" s="43">
        <f>0</f>
        <v>0</v>
      </c>
    </row>
    <row r="178" spans="2:12" x14ac:dyDescent="0.2">
      <c r="B178" s="5"/>
      <c r="C178" s="41" t="s">
        <v>45</v>
      </c>
      <c r="D178" s="33">
        <v>2</v>
      </c>
      <c r="E178" s="16" t="s">
        <v>14</v>
      </c>
      <c r="F178" s="12">
        <f t="shared" ref="F178:F183" si="34">IF(OR(CODE(E178)&lt;=67,CODE(E178)=83),D178,0)</f>
        <v>0</v>
      </c>
      <c r="G178" s="12">
        <f t="shared" ref="G178:G183" si="35">IF(E178="S",4,IF(E178="A",3,IF(E178="B",2,IF(E178="C",1,0))))*F178</f>
        <v>0</v>
      </c>
      <c r="H178" s="16" t="s">
        <v>14</v>
      </c>
      <c r="I178" s="12">
        <f t="shared" ref="I178:I183" si="36">IF(AND(CODE(H178)=82,F178=0),D178,0)</f>
        <v>0</v>
      </c>
      <c r="J178" s="36" t="str">
        <f t="shared" ref="J178:J183" si="37">IF(AND(F178&lt;&gt;0,H178="R"),"×","")</f>
        <v/>
      </c>
      <c r="K178" s="322" t="s">
        <v>12</v>
      </c>
      <c r="L178" s="322"/>
    </row>
    <row r="179" spans="2:12" x14ac:dyDescent="0.2">
      <c r="B179" s="5"/>
      <c r="C179" s="41" t="s">
        <v>46</v>
      </c>
      <c r="D179" s="33">
        <v>2</v>
      </c>
      <c r="E179" s="16" t="s">
        <v>14</v>
      </c>
      <c r="F179" s="12">
        <f t="shared" si="34"/>
        <v>0</v>
      </c>
      <c r="G179" s="12">
        <f t="shared" si="35"/>
        <v>0</v>
      </c>
      <c r="H179" s="16" t="s">
        <v>14</v>
      </c>
      <c r="I179" s="12">
        <f t="shared" si="36"/>
        <v>0</v>
      </c>
      <c r="J179" s="36" t="str">
        <f t="shared" si="37"/>
        <v/>
      </c>
      <c r="K179" s="339" t="s">
        <v>773</v>
      </c>
      <c r="L179" s="340"/>
    </row>
    <row r="180" spans="2:12" x14ac:dyDescent="0.2">
      <c r="B180" s="5"/>
      <c r="C180" s="41" t="s">
        <v>47</v>
      </c>
      <c r="D180" s="33">
        <v>2</v>
      </c>
      <c r="E180" s="16" t="s">
        <v>14</v>
      </c>
      <c r="F180" s="12">
        <f t="shared" si="34"/>
        <v>0</v>
      </c>
      <c r="G180" s="12">
        <f t="shared" si="35"/>
        <v>0</v>
      </c>
      <c r="H180" s="16" t="s">
        <v>14</v>
      </c>
      <c r="I180" s="12">
        <f t="shared" si="36"/>
        <v>0</v>
      </c>
      <c r="J180" s="36" t="str">
        <f t="shared" si="37"/>
        <v/>
      </c>
    </row>
    <row r="181" spans="2:12" x14ac:dyDescent="0.2">
      <c r="B181" s="5"/>
      <c r="C181" s="41" t="s">
        <v>48</v>
      </c>
      <c r="D181" s="33">
        <v>2</v>
      </c>
      <c r="E181" s="16" t="s">
        <v>14</v>
      </c>
      <c r="F181" s="12">
        <f t="shared" si="34"/>
        <v>0</v>
      </c>
      <c r="G181" s="12">
        <f t="shared" si="35"/>
        <v>0</v>
      </c>
      <c r="H181" s="16" t="s">
        <v>14</v>
      </c>
      <c r="I181" s="12">
        <f t="shared" si="36"/>
        <v>0</v>
      </c>
      <c r="J181" s="36" t="str">
        <f t="shared" si="37"/>
        <v/>
      </c>
      <c r="K181" s="5" t="s">
        <v>706</v>
      </c>
      <c r="L181" s="262" t="str">
        <f>IF(COUNTIF(J178:J183,"×"),"重複","履修可")</f>
        <v>履修可</v>
      </c>
    </row>
    <row r="182" spans="2:12" x14ac:dyDescent="0.2">
      <c r="B182" s="5"/>
      <c r="C182" s="41" t="s">
        <v>49</v>
      </c>
      <c r="D182" s="33">
        <v>2</v>
      </c>
      <c r="E182" s="16" t="s">
        <v>14</v>
      </c>
      <c r="F182" s="12">
        <f t="shared" si="34"/>
        <v>0</v>
      </c>
      <c r="G182" s="12">
        <f t="shared" si="35"/>
        <v>0</v>
      </c>
      <c r="H182" s="16" t="s">
        <v>14</v>
      </c>
      <c r="I182" s="12">
        <f t="shared" si="36"/>
        <v>0</v>
      </c>
      <c r="J182" s="36" t="str">
        <f t="shared" si="37"/>
        <v/>
      </c>
    </row>
    <row r="183" spans="2:12" x14ac:dyDescent="0.2">
      <c r="B183" s="5"/>
      <c r="C183" s="41" t="s">
        <v>50</v>
      </c>
      <c r="D183" s="33">
        <v>2</v>
      </c>
      <c r="E183" s="16" t="s">
        <v>14</v>
      </c>
      <c r="F183" s="12">
        <f t="shared" si="34"/>
        <v>0</v>
      </c>
      <c r="G183" s="12">
        <f t="shared" si="35"/>
        <v>0</v>
      </c>
      <c r="H183" s="16" t="s">
        <v>14</v>
      </c>
      <c r="I183" s="12">
        <f t="shared" si="36"/>
        <v>0</v>
      </c>
      <c r="J183" s="36" t="str">
        <f t="shared" si="37"/>
        <v/>
      </c>
    </row>
    <row r="184" spans="2:12" x14ac:dyDescent="0.2">
      <c r="C184" s="178"/>
      <c r="F184" s="178"/>
      <c r="G184" s="178"/>
      <c r="H184" s="100"/>
      <c r="I184" s="100"/>
    </row>
    <row r="185" spans="2:12" x14ac:dyDescent="0.2">
      <c r="B185" s="329" t="s">
        <v>551</v>
      </c>
      <c r="C185" s="330"/>
      <c r="D185" s="330"/>
      <c r="E185" s="330"/>
      <c r="F185" s="330"/>
      <c r="G185" s="330"/>
      <c r="H185" s="330"/>
      <c r="I185" s="331"/>
    </row>
    <row r="186" spans="2:12" ht="17.399999999999999" customHeight="1" x14ac:dyDescent="0.2">
      <c r="B186" s="23"/>
      <c r="C186" s="177" t="s">
        <v>547</v>
      </c>
      <c r="D186" s="4" t="s">
        <v>222</v>
      </c>
      <c r="E186" s="7">
        <f>ROWS(E187:E195)-COUNTIF(E187:E195,"=―")-COUNTIF(E187:E195,"=F")-COUNTIF(E187:E195,"=")</f>
        <v>0</v>
      </c>
      <c r="F186" s="43">
        <f>IF(SUM(F187:F195)&gt;2,2,SUM(F187:F195))</f>
        <v>0</v>
      </c>
      <c r="G186" s="15">
        <f>IF(SUM(G187:G195)&gt;2,2,SUM(G187:G195))</f>
        <v>0</v>
      </c>
      <c r="H186" s="7">
        <f>COUNTIF(H187:H195,"R")</f>
        <v>0</v>
      </c>
      <c r="I186" s="43">
        <f>IF(SUM(I187:I195)&gt;2,2,SUM(I187:I195))</f>
        <v>0</v>
      </c>
    </row>
    <row r="187" spans="2:12" x14ac:dyDescent="0.2">
      <c r="B187" s="5"/>
      <c r="C187" s="51"/>
      <c r="D187" s="4">
        <v>2</v>
      </c>
      <c r="E187" s="16" t="s">
        <v>14</v>
      </c>
      <c r="F187" s="12">
        <f t="shared" ref="F187:F195" si="38">IF(OR(CODE(E187)&lt;=67,CODE(E187)=83),D187,0)</f>
        <v>0</v>
      </c>
      <c r="G187" s="12">
        <f t="shared" ref="G187:G195" si="39">IF(E187="S",4,IF(E187="A",3,IF(E187="B",2,IF(E187="C",1,0))))*F187</f>
        <v>0</v>
      </c>
      <c r="H187" s="16" t="s">
        <v>14</v>
      </c>
      <c r="I187" s="12">
        <f t="shared" ref="I187:I195" si="40">IF(AND(CODE(H187)=82,F187=0),D187,0)</f>
        <v>0</v>
      </c>
      <c r="J187" s="36" t="str">
        <f t="shared" ref="J187:J195" si="41">IF(AND(F187&lt;&gt;0,H187="R"),"×","")</f>
        <v/>
      </c>
      <c r="K187" s="322" t="s">
        <v>12</v>
      </c>
      <c r="L187" s="322"/>
    </row>
    <row r="188" spans="2:12" x14ac:dyDescent="0.2">
      <c r="B188" s="5"/>
      <c r="C188" s="51"/>
      <c r="D188" s="4">
        <v>2</v>
      </c>
      <c r="E188" s="16" t="s">
        <v>14</v>
      </c>
      <c r="F188" s="12">
        <f t="shared" si="38"/>
        <v>0</v>
      </c>
      <c r="G188" s="12">
        <f t="shared" ref="G188" si="42">IF(E188="S",4,IF(E188="A",3,IF(E188="B",2,IF(E188="C",1,0))))*F188</f>
        <v>0</v>
      </c>
      <c r="H188" s="16" t="s">
        <v>14</v>
      </c>
      <c r="I188" s="12">
        <f t="shared" si="40"/>
        <v>0</v>
      </c>
      <c r="J188" s="36" t="str">
        <f t="shared" si="41"/>
        <v/>
      </c>
      <c r="K188" s="314" t="s">
        <v>552</v>
      </c>
      <c r="L188" s="314"/>
    </row>
    <row r="189" spans="2:12" x14ac:dyDescent="0.2">
      <c r="B189" s="5"/>
      <c r="C189" s="51"/>
      <c r="D189" s="4">
        <v>2</v>
      </c>
      <c r="E189" s="16" t="s">
        <v>14</v>
      </c>
      <c r="F189" s="12">
        <f t="shared" si="38"/>
        <v>0</v>
      </c>
      <c r="G189" s="12">
        <f t="shared" si="39"/>
        <v>0</v>
      </c>
      <c r="H189" s="16" t="s">
        <v>14</v>
      </c>
      <c r="I189" s="12">
        <f t="shared" si="40"/>
        <v>0</v>
      </c>
      <c r="J189" s="36" t="str">
        <f t="shared" si="41"/>
        <v/>
      </c>
    </row>
    <row r="190" spans="2:12" x14ac:dyDescent="0.2">
      <c r="B190" s="5"/>
      <c r="C190" s="51"/>
      <c r="D190" s="4">
        <v>2</v>
      </c>
      <c r="E190" s="16" t="s">
        <v>14</v>
      </c>
      <c r="F190" s="12">
        <f t="shared" si="38"/>
        <v>0</v>
      </c>
      <c r="G190" s="12">
        <f t="shared" si="39"/>
        <v>0</v>
      </c>
      <c r="H190" s="16" t="s">
        <v>14</v>
      </c>
      <c r="I190" s="12">
        <f t="shared" si="40"/>
        <v>0</v>
      </c>
      <c r="J190" s="36" t="str">
        <f t="shared" si="41"/>
        <v/>
      </c>
      <c r="K190" s="5" t="s">
        <v>706</v>
      </c>
      <c r="L190" s="262" t="str">
        <f>IF(COUNTIF(J187:J195,"×"),"重複","履修可")</f>
        <v>履修可</v>
      </c>
    </row>
    <row r="191" spans="2:12" x14ac:dyDescent="0.2">
      <c r="B191" s="5"/>
      <c r="C191" s="51"/>
      <c r="D191" s="4">
        <v>2</v>
      </c>
      <c r="E191" s="16" t="s">
        <v>14</v>
      </c>
      <c r="F191" s="12">
        <f t="shared" si="38"/>
        <v>0</v>
      </c>
      <c r="G191" s="12">
        <f t="shared" ref="G191" si="43">IF(E191="S",4,IF(E191="A",3,IF(E191="B",2,IF(E191="C",1,0))))*F191</f>
        <v>0</v>
      </c>
      <c r="H191" s="16" t="s">
        <v>14</v>
      </c>
      <c r="I191" s="12">
        <f t="shared" si="40"/>
        <v>0</v>
      </c>
      <c r="J191" s="36" t="str">
        <f t="shared" si="41"/>
        <v/>
      </c>
    </row>
    <row r="192" spans="2:12" x14ac:dyDescent="0.2">
      <c r="B192" s="5"/>
      <c r="C192" s="51"/>
      <c r="D192" s="4">
        <v>2</v>
      </c>
      <c r="E192" s="16" t="s">
        <v>14</v>
      </c>
      <c r="F192" s="12">
        <f t="shared" si="38"/>
        <v>0</v>
      </c>
      <c r="G192" s="12">
        <f t="shared" si="39"/>
        <v>0</v>
      </c>
      <c r="H192" s="16" t="s">
        <v>14</v>
      </c>
      <c r="I192" s="12">
        <f t="shared" si="40"/>
        <v>0</v>
      </c>
      <c r="J192" s="36" t="str">
        <f t="shared" si="41"/>
        <v/>
      </c>
    </row>
    <row r="193" spans="2:12" x14ac:dyDescent="0.2">
      <c r="B193" s="5"/>
      <c r="C193" s="51"/>
      <c r="D193" s="4">
        <v>2</v>
      </c>
      <c r="E193" s="16" t="s">
        <v>14</v>
      </c>
      <c r="F193" s="12">
        <f t="shared" si="38"/>
        <v>0</v>
      </c>
      <c r="G193" s="12">
        <f t="shared" si="39"/>
        <v>0</v>
      </c>
      <c r="H193" s="16" t="s">
        <v>14</v>
      </c>
      <c r="I193" s="12">
        <f t="shared" si="40"/>
        <v>0</v>
      </c>
      <c r="J193" s="36" t="str">
        <f t="shared" si="41"/>
        <v/>
      </c>
    </row>
    <row r="194" spans="2:12" x14ac:dyDescent="0.2">
      <c r="B194" s="5"/>
      <c r="C194" s="51"/>
      <c r="D194" s="4">
        <v>2</v>
      </c>
      <c r="E194" s="16" t="s">
        <v>14</v>
      </c>
      <c r="F194" s="12">
        <f t="shared" si="38"/>
        <v>0</v>
      </c>
      <c r="G194" s="12">
        <f t="shared" ref="G194" si="44">IF(E194="S",4,IF(E194="A",3,IF(E194="B",2,IF(E194="C",1,0))))*F194</f>
        <v>0</v>
      </c>
      <c r="H194" s="16" t="s">
        <v>14</v>
      </c>
      <c r="I194" s="12">
        <f t="shared" si="40"/>
        <v>0</v>
      </c>
      <c r="J194" s="36" t="str">
        <f t="shared" si="41"/>
        <v/>
      </c>
    </row>
    <row r="195" spans="2:12" x14ac:dyDescent="0.2">
      <c r="B195" s="5"/>
      <c r="C195" s="51"/>
      <c r="D195" s="4">
        <v>2</v>
      </c>
      <c r="E195" s="16" t="s">
        <v>14</v>
      </c>
      <c r="F195" s="12">
        <f t="shared" si="38"/>
        <v>0</v>
      </c>
      <c r="G195" s="12">
        <f t="shared" si="39"/>
        <v>0</v>
      </c>
      <c r="H195" s="16" t="s">
        <v>14</v>
      </c>
      <c r="I195" s="12">
        <f t="shared" si="40"/>
        <v>0</v>
      </c>
      <c r="J195" s="36" t="str">
        <f t="shared" si="41"/>
        <v/>
      </c>
    </row>
    <row r="196" spans="2:12" x14ac:dyDescent="0.2">
      <c r="C196"/>
      <c r="D196"/>
    </row>
    <row r="197" spans="2:12" x14ac:dyDescent="0.2">
      <c r="B197" s="319" t="s">
        <v>51</v>
      </c>
      <c r="C197" s="320"/>
      <c r="D197" s="320"/>
      <c r="E197" s="320"/>
      <c r="F197" s="320"/>
      <c r="G197" s="320"/>
      <c r="H197" s="320"/>
      <c r="I197" s="321"/>
    </row>
    <row r="198" spans="2:12" x14ac:dyDescent="0.2">
      <c r="B198" s="5"/>
      <c r="C198" s="14"/>
      <c r="D198" s="4" t="s">
        <v>222</v>
      </c>
      <c r="E198" s="7">
        <f>ROWS(E199:E207)-COUNTIF(E199:E207,"=―")-COUNTIF(E199:E207,"=F")</f>
        <v>0</v>
      </c>
      <c r="F198" s="43">
        <f>SUM(F199:F207)</f>
        <v>0</v>
      </c>
      <c r="G198" s="15">
        <f>SUM(G199:G207)</f>
        <v>0</v>
      </c>
      <c r="H198" s="7">
        <f>COUNTIF(H199:H207,"R")</f>
        <v>0</v>
      </c>
      <c r="I198" s="43">
        <f>SUM(I199:I207)</f>
        <v>0</v>
      </c>
    </row>
    <row r="199" spans="2:12" x14ac:dyDescent="0.2">
      <c r="B199" s="5"/>
      <c r="C199" s="51"/>
      <c r="D199" s="4">
        <v>2</v>
      </c>
      <c r="E199" s="16" t="s">
        <v>14</v>
      </c>
      <c r="F199" s="12">
        <f t="shared" ref="F199:F207" si="45">IF(OR(CODE(E199)&lt;=67,CODE(E199)=83),D199,0)</f>
        <v>0</v>
      </c>
      <c r="G199" s="12">
        <f t="shared" ref="G199:G207" si="46">IF(E199="S",4,IF(E199="A",3,IF(E199="B",2,IF(E199="C",1,0))))*F199</f>
        <v>0</v>
      </c>
      <c r="H199" s="16" t="s">
        <v>14</v>
      </c>
      <c r="I199" s="12">
        <f t="shared" ref="I199:I207" si="47">IF(AND(CODE(H199)=82,F199=0),D199,0)</f>
        <v>0</v>
      </c>
      <c r="J199" s="36" t="str">
        <f t="shared" ref="J199:J207" si="48">IF(AND(F199&lt;&gt;0,H199="R"),"×","")</f>
        <v/>
      </c>
      <c r="K199" s="322" t="s">
        <v>12</v>
      </c>
      <c r="L199" s="322"/>
    </row>
    <row r="200" spans="2:12" x14ac:dyDescent="0.2">
      <c r="B200" s="5"/>
      <c r="C200" s="51"/>
      <c r="D200" s="4">
        <v>2</v>
      </c>
      <c r="E200" s="16" t="s">
        <v>14</v>
      </c>
      <c r="F200" s="12">
        <f t="shared" si="45"/>
        <v>0</v>
      </c>
      <c r="G200" s="12">
        <f t="shared" si="46"/>
        <v>0</v>
      </c>
      <c r="H200" s="16" t="s">
        <v>14</v>
      </c>
      <c r="I200" s="12">
        <f t="shared" si="47"/>
        <v>0</v>
      </c>
      <c r="J200" s="36" t="str">
        <f t="shared" si="48"/>
        <v/>
      </c>
      <c r="K200" s="314" t="s">
        <v>52</v>
      </c>
      <c r="L200" s="314"/>
    </row>
    <row r="201" spans="2:12" x14ac:dyDescent="0.2">
      <c r="B201" s="5"/>
      <c r="C201" s="51"/>
      <c r="D201" s="4">
        <v>2</v>
      </c>
      <c r="E201" s="16" t="s">
        <v>14</v>
      </c>
      <c r="F201" s="12">
        <f t="shared" si="45"/>
        <v>0</v>
      </c>
      <c r="G201" s="12">
        <f t="shared" si="46"/>
        <v>0</v>
      </c>
      <c r="H201" s="16" t="s">
        <v>14</v>
      </c>
      <c r="I201" s="12">
        <f t="shared" si="47"/>
        <v>0</v>
      </c>
      <c r="J201" s="36" t="str">
        <f t="shared" si="48"/>
        <v/>
      </c>
    </row>
    <row r="202" spans="2:12" x14ac:dyDescent="0.2">
      <c r="B202" s="5"/>
      <c r="C202" s="51"/>
      <c r="D202" s="4">
        <v>2</v>
      </c>
      <c r="E202" s="16" t="s">
        <v>14</v>
      </c>
      <c r="F202" s="12">
        <f t="shared" si="45"/>
        <v>0</v>
      </c>
      <c r="G202" s="12">
        <f t="shared" si="46"/>
        <v>0</v>
      </c>
      <c r="H202" s="16" t="s">
        <v>14</v>
      </c>
      <c r="I202" s="12">
        <f t="shared" si="47"/>
        <v>0</v>
      </c>
      <c r="J202" s="36" t="str">
        <f t="shared" si="48"/>
        <v/>
      </c>
      <c r="K202" s="5" t="s">
        <v>706</v>
      </c>
      <c r="L202" s="262" t="str">
        <f>IF(COUNTIF(J199:J207,"×"),"重複","履修可")</f>
        <v>履修可</v>
      </c>
    </row>
    <row r="203" spans="2:12" x14ac:dyDescent="0.2">
      <c r="B203" s="5"/>
      <c r="C203" s="51"/>
      <c r="D203" s="4">
        <v>2</v>
      </c>
      <c r="E203" s="16" t="s">
        <v>14</v>
      </c>
      <c r="F203" s="12">
        <f t="shared" si="45"/>
        <v>0</v>
      </c>
      <c r="G203" s="12">
        <f t="shared" si="46"/>
        <v>0</v>
      </c>
      <c r="H203" s="16" t="s">
        <v>14</v>
      </c>
      <c r="I203" s="12">
        <f t="shared" si="47"/>
        <v>0</v>
      </c>
      <c r="J203" s="36" t="str">
        <f t="shared" si="48"/>
        <v/>
      </c>
    </row>
    <row r="204" spans="2:12" x14ac:dyDescent="0.2">
      <c r="B204" s="5"/>
      <c r="C204" s="51"/>
      <c r="D204" s="4">
        <v>2</v>
      </c>
      <c r="E204" s="16" t="s">
        <v>14</v>
      </c>
      <c r="F204" s="12">
        <f t="shared" si="45"/>
        <v>0</v>
      </c>
      <c r="G204" s="12">
        <f t="shared" si="46"/>
        <v>0</v>
      </c>
      <c r="H204" s="16" t="s">
        <v>14</v>
      </c>
      <c r="I204" s="12">
        <f t="shared" si="47"/>
        <v>0</v>
      </c>
      <c r="J204" s="36" t="str">
        <f t="shared" si="48"/>
        <v/>
      </c>
    </row>
    <row r="205" spans="2:12" x14ac:dyDescent="0.2">
      <c r="B205" s="5"/>
      <c r="C205" s="51"/>
      <c r="D205" s="4">
        <v>2</v>
      </c>
      <c r="E205" s="16" t="s">
        <v>14</v>
      </c>
      <c r="F205" s="12">
        <f t="shared" ref="F205" si="49">IF(OR(CODE(E205)&lt;=67,CODE(E205)=83),D205,0)</f>
        <v>0</v>
      </c>
      <c r="G205" s="12">
        <f t="shared" ref="G205" si="50">IF(E205="S",4,IF(E205="A",3,IF(E205="B",2,IF(E205="C",1,0))))*F205</f>
        <v>0</v>
      </c>
      <c r="H205" s="16" t="s">
        <v>14</v>
      </c>
      <c r="I205" s="12">
        <f t="shared" si="47"/>
        <v>0</v>
      </c>
      <c r="J205" s="36" t="str">
        <f t="shared" si="48"/>
        <v/>
      </c>
    </row>
    <row r="206" spans="2:12" x14ac:dyDescent="0.2">
      <c r="B206" s="5"/>
      <c r="C206" s="51"/>
      <c r="D206" s="4">
        <v>2</v>
      </c>
      <c r="E206" s="16" t="s">
        <v>14</v>
      </c>
      <c r="F206" s="12">
        <f t="shared" si="45"/>
        <v>0</v>
      </c>
      <c r="G206" s="12">
        <f t="shared" si="46"/>
        <v>0</v>
      </c>
      <c r="H206" s="16" t="s">
        <v>14</v>
      </c>
      <c r="I206" s="12">
        <f t="shared" si="47"/>
        <v>0</v>
      </c>
      <c r="J206" s="36" t="str">
        <f t="shared" si="48"/>
        <v/>
      </c>
    </row>
    <row r="207" spans="2:12" x14ac:dyDescent="0.2">
      <c r="B207" s="5"/>
      <c r="C207" s="51"/>
      <c r="D207" s="4">
        <v>2</v>
      </c>
      <c r="E207" s="16" t="s">
        <v>14</v>
      </c>
      <c r="F207" s="12">
        <f t="shared" si="45"/>
        <v>0</v>
      </c>
      <c r="G207" s="12">
        <f t="shared" si="46"/>
        <v>0</v>
      </c>
      <c r="H207" s="16" t="s">
        <v>14</v>
      </c>
      <c r="I207" s="12">
        <f t="shared" si="47"/>
        <v>0</v>
      </c>
      <c r="J207" s="36" t="str">
        <f t="shared" si="48"/>
        <v/>
      </c>
    </row>
    <row r="208" spans="2:12" x14ac:dyDescent="0.2">
      <c r="C208"/>
      <c r="D208"/>
    </row>
    <row r="209" spans="2:12" x14ac:dyDescent="0.2">
      <c r="B209" s="328" t="s">
        <v>53</v>
      </c>
      <c r="C209" s="328"/>
      <c r="D209" s="328"/>
      <c r="E209" s="328"/>
      <c r="F209" s="328"/>
      <c r="G209" s="328"/>
      <c r="H209" s="328"/>
      <c r="I209" s="328"/>
    </row>
    <row r="210" spans="2:12" x14ac:dyDescent="0.2">
      <c r="B210" s="5"/>
      <c r="C210" s="14"/>
      <c r="D210" s="4" t="s">
        <v>222</v>
      </c>
      <c r="E210" s="7">
        <f>ROWS(E211:E220)-COUNTIF(E211:E220,"=―")-COUNTIF(E211:E220,"=F")</f>
        <v>0</v>
      </c>
      <c r="F210" s="43">
        <f>SUM(F211:F220)</f>
        <v>0</v>
      </c>
      <c r="G210" s="15">
        <f>SUM(G211:G220)</f>
        <v>0</v>
      </c>
      <c r="H210" s="7">
        <f>COUNTIF(H211:H220,"R")</f>
        <v>0</v>
      </c>
      <c r="I210" s="43">
        <f>SUM(I211:I220)</f>
        <v>0</v>
      </c>
    </row>
    <row r="211" spans="2:12" x14ac:dyDescent="0.2">
      <c r="B211" s="5"/>
      <c r="C211" s="51"/>
      <c r="D211" s="4">
        <v>2</v>
      </c>
      <c r="E211" s="16" t="s">
        <v>14</v>
      </c>
      <c r="F211" s="12">
        <f>IF(OR(CODE(E211)&lt;=67,CODE(E211)=83),D211,0)</f>
        <v>0</v>
      </c>
      <c r="G211" s="12">
        <f t="shared" ref="G211:G220" si="51">IF(E211="S",4,IF(E211="A",3,IF(E211="B",2,IF(E211="C",1,0))))*F211</f>
        <v>0</v>
      </c>
      <c r="H211" s="16" t="s">
        <v>14</v>
      </c>
      <c r="I211" s="12">
        <f t="shared" ref="I211:I220" si="52">IF(AND(CODE(H211)=82,F211=0),D211,0)</f>
        <v>0</v>
      </c>
      <c r="J211" s="36" t="str">
        <f t="shared" ref="J211:J220" si="53">IF(AND(F211&lt;&gt;0,H211="R"),"×","")</f>
        <v/>
      </c>
      <c r="K211" s="322" t="s">
        <v>12</v>
      </c>
      <c r="L211" s="322"/>
    </row>
    <row r="212" spans="2:12" x14ac:dyDescent="0.2">
      <c r="B212" s="5"/>
      <c r="C212" s="51"/>
      <c r="D212" s="4">
        <v>2</v>
      </c>
      <c r="E212" s="16" t="s">
        <v>14</v>
      </c>
      <c r="F212" s="12">
        <f>IF(OR(CODE(E212)&lt;=67,CODE(E212)=83),D212,0)</f>
        <v>0</v>
      </c>
      <c r="G212" s="12">
        <f t="shared" si="51"/>
        <v>0</v>
      </c>
      <c r="H212" s="16" t="s">
        <v>14</v>
      </c>
      <c r="I212" s="12">
        <f t="shared" si="52"/>
        <v>0</v>
      </c>
      <c r="J212" s="36" t="str">
        <f t="shared" si="53"/>
        <v/>
      </c>
      <c r="K212" s="314" t="s">
        <v>54</v>
      </c>
      <c r="L212" s="314"/>
    </row>
    <row r="213" spans="2:12" x14ac:dyDescent="0.2">
      <c r="B213" s="5"/>
      <c r="C213" s="51"/>
      <c r="D213" s="4">
        <v>2</v>
      </c>
      <c r="E213" s="16" t="s">
        <v>14</v>
      </c>
      <c r="F213" s="12">
        <f>IF(OR(CODE(E213)&lt;=67,CODE(E213)=83),D213,0)</f>
        <v>0</v>
      </c>
      <c r="G213" s="12">
        <f t="shared" si="51"/>
        <v>0</v>
      </c>
      <c r="H213" s="16" t="s">
        <v>14</v>
      </c>
      <c r="I213" s="12">
        <f t="shared" si="52"/>
        <v>0</v>
      </c>
      <c r="J213" s="36" t="str">
        <f t="shared" si="53"/>
        <v/>
      </c>
    </row>
    <row r="214" spans="2:12" x14ac:dyDescent="0.2">
      <c r="B214" s="5"/>
      <c r="C214" s="51"/>
      <c r="D214" s="4">
        <v>2</v>
      </c>
      <c r="E214" s="16" t="s">
        <v>14</v>
      </c>
      <c r="F214" s="12">
        <f t="shared" ref="F214:F216" si="54">IF(OR(CODE(E214)&lt;=67,CODE(E214)=83),D214,0)</f>
        <v>0</v>
      </c>
      <c r="G214" s="12">
        <f t="shared" ref="G214:G216" si="55">IF(E214="S",4,IF(E214="A",3,IF(E214="B",2,IF(E214="C",1,0))))*F214</f>
        <v>0</v>
      </c>
      <c r="H214" s="16" t="s">
        <v>14</v>
      </c>
      <c r="I214" s="12">
        <f t="shared" si="52"/>
        <v>0</v>
      </c>
      <c r="J214" s="36" t="str">
        <f t="shared" si="53"/>
        <v/>
      </c>
      <c r="K214" s="5" t="s">
        <v>706</v>
      </c>
      <c r="L214" s="262" t="str">
        <f>IF(COUNTIF(J211:J220,"×"),"重複","履修可")</f>
        <v>履修可</v>
      </c>
    </row>
    <row r="215" spans="2:12" x14ac:dyDescent="0.2">
      <c r="B215" s="5"/>
      <c r="C215" s="51"/>
      <c r="D215" s="4">
        <v>2</v>
      </c>
      <c r="E215" s="16" t="s">
        <v>14</v>
      </c>
      <c r="F215" s="12">
        <f t="shared" si="54"/>
        <v>0</v>
      </c>
      <c r="G215" s="12">
        <f t="shared" si="55"/>
        <v>0</v>
      </c>
      <c r="H215" s="16" t="s">
        <v>14</v>
      </c>
      <c r="I215" s="12">
        <f t="shared" si="52"/>
        <v>0</v>
      </c>
      <c r="J215" s="36" t="str">
        <f t="shared" si="53"/>
        <v/>
      </c>
    </row>
    <row r="216" spans="2:12" x14ac:dyDescent="0.2">
      <c r="B216" s="5"/>
      <c r="C216" s="51"/>
      <c r="D216" s="4">
        <v>2</v>
      </c>
      <c r="E216" s="16" t="s">
        <v>14</v>
      </c>
      <c r="F216" s="12">
        <f t="shared" si="54"/>
        <v>0</v>
      </c>
      <c r="G216" s="12">
        <f t="shared" si="55"/>
        <v>0</v>
      </c>
      <c r="H216" s="16" t="s">
        <v>14</v>
      </c>
      <c r="I216" s="12">
        <f t="shared" si="52"/>
        <v>0</v>
      </c>
      <c r="J216" s="36" t="str">
        <f t="shared" si="53"/>
        <v/>
      </c>
    </row>
    <row r="217" spans="2:12" x14ac:dyDescent="0.2">
      <c r="B217" s="5"/>
      <c r="C217" s="51"/>
      <c r="D217" s="4">
        <v>2</v>
      </c>
      <c r="E217" s="16" t="s">
        <v>14</v>
      </c>
      <c r="F217" s="12">
        <f>IF(OR(CODE(E217)&lt;=67,CODE(E217)=83),D217,0)</f>
        <v>0</v>
      </c>
      <c r="G217" s="12">
        <f t="shared" si="51"/>
        <v>0</v>
      </c>
      <c r="H217" s="16" t="s">
        <v>14</v>
      </c>
      <c r="I217" s="12">
        <f t="shared" si="52"/>
        <v>0</v>
      </c>
      <c r="J217" s="36" t="str">
        <f t="shared" si="53"/>
        <v/>
      </c>
    </row>
    <row r="218" spans="2:12" x14ac:dyDescent="0.2">
      <c r="B218" s="5"/>
      <c r="C218" s="51"/>
      <c r="D218" s="4">
        <v>2</v>
      </c>
      <c r="E218" s="16" t="s">
        <v>14</v>
      </c>
      <c r="F218" s="12">
        <f t="shared" ref="F218:F219" si="56">IF(OR(CODE(E218)&lt;=67,CODE(E218)=83),D218,0)</f>
        <v>0</v>
      </c>
      <c r="G218" s="12">
        <f t="shared" ref="G218:G219" si="57">IF(E218="S",4,IF(E218="A",3,IF(E218="B",2,IF(E218="C",1,0))))*F218</f>
        <v>0</v>
      </c>
      <c r="H218" s="16" t="s">
        <v>14</v>
      </c>
      <c r="I218" s="12">
        <f t="shared" si="52"/>
        <v>0</v>
      </c>
      <c r="J218" s="36" t="str">
        <f t="shared" si="53"/>
        <v/>
      </c>
    </row>
    <row r="219" spans="2:12" x14ac:dyDescent="0.2">
      <c r="B219" s="5"/>
      <c r="C219" s="51"/>
      <c r="D219" s="4">
        <v>2</v>
      </c>
      <c r="E219" s="16" t="s">
        <v>14</v>
      </c>
      <c r="F219" s="12">
        <f t="shared" si="56"/>
        <v>0</v>
      </c>
      <c r="G219" s="12">
        <f t="shared" si="57"/>
        <v>0</v>
      </c>
      <c r="H219" s="16" t="s">
        <v>14</v>
      </c>
      <c r="I219" s="12">
        <f t="shared" si="52"/>
        <v>0</v>
      </c>
      <c r="J219" s="36" t="str">
        <f t="shared" si="53"/>
        <v/>
      </c>
    </row>
    <row r="220" spans="2:12" x14ac:dyDescent="0.2">
      <c r="B220" s="5"/>
      <c r="C220" s="51"/>
      <c r="D220" s="4">
        <v>2</v>
      </c>
      <c r="E220" s="16" t="s">
        <v>14</v>
      </c>
      <c r="F220" s="12">
        <f>IF(OR(CODE(E220)&lt;=67,CODE(E220)=83),D220,0)</f>
        <v>0</v>
      </c>
      <c r="G220" s="12">
        <f t="shared" si="51"/>
        <v>0</v>
      </c>
      <c r="H220" s="16" t="s">
        <v>14</v>
      </c>
      <c r="I220" s="12">
        <f t="shared" si="52"/>
        <v>0</v>
      </c>
      <c r="J220" s="36" t="str">
        <f t="shared" si="53"/>
        <v/>
      </c>
    </row>
    <row r="223" spans="2:12" x14ac:dyDescent="0.2">
      <c r="B223" s="317" t="s">
        <v>545</v>
      </c>
      <c r="C223" s="317"/>
      <c r="D223" s="317"/>
      <c r="E223" s="317"/>
      <c r="F223" s="317"/>
      <c r="G223" s="317"/>
      <c r="H223" s="317"/>
      <c r="I223" s="317"/>
    </row>
    <row r="227" spans="4:5" x14ac:dyDescent="0.2">
      <c r="D227" s="1"/>
      <c r="E227" s="1"/>
    </row>
    <row r="228" spans="4:5" x14ac:dyDescent="0.2">
      <c r="D228" s="1"/>
      <c r="E228" s="1"/>
    </row>
  </sheetData>
  <sheetProtection sheet="1" objects="1" scenarios="1"/>
  <protectedRanges>
    <protectedRange sqref="H21:H25 H9:H17 H29:H36 H39:H46 H50:H51 H55:H68 H72:H89 H93:H118 H178:H183 H187:H195 H199:H207 H211:H220 H122:H174" name="履修入力"/>
    <protectedRange sqref="C9:C17 C28 C38 C50:C51 C187:C195 C199:C207 C211:C220" name="科目名入力"/>
    <protectedRange sqref="E9:E17 E21:E25 E29:E36 E55:E68 E72:E89 E93:E118 E122:E174 E178:E183 E187:E195 E199:E207 E211:E220 E39:E46 E50:E51" name="成績入力"/>
  </protectedRanges>
  <mergeCells count="73">
    <mergeCell ref="K179:L179"/>
    <mergeCell ref="N47:O47"/>
    <mergeCell ref="N48:O48"/>
    <mergeCell ref="N49:O49"/>
    <mergeCell ref="N50:O50"/>
    <mergeCell ref="N51:O51"/>
    <mergeCell ref="N42:O42"/>
    <mergeCell ref="N43:O43"/>
    <mergeCell ref="N44:O44"/>
    <mergeCell ref="N45:O45"/>
    <mergeCell ref="N46:O46"/>
    <mergeCell ref="N37:O37"/>
    <mergeCell ref="N38:O38"/>
    <mergeCell ref="N39:O39"/>
    <mergeCell ref="N40:O40"/>
    <mergeCell ref="N41:O41"/>
    <mergeCell ref="B4:D4"/>
    <mergeCell ref="E4:G4"/>
    <mergeCell ref="H4:I4"/>
    <mergeCell ref="B7:I7"/>
    <mergeCell ref="B19:I19"/>
    <mergeCell ref="K8:L8"/>
    <mergeCell ref="K10:L10"/>
    <mergeCell ref="K20:L20"/>
    <mergeCell ref="K22:L22"/>
    <mergeCell ref="B27:I27"/>
    <mergeCell ref="K29:L29"/>
    <mergeCell ref="K31:L31"/>
    <mergeCell ref="B37:I37"/>
    <mergeCell ref="K39:L39"/>
    <mergeCell ref="K41:L41"/>
    <mergeCell ref="B48:I48"/>
    <mergeCell ref="B209:I209"/>
    <mergeCell ref="K211:L211"/>
    <mergeCell ref="K178:L178"/>
    <mergeCell ref="B185:I185"/>
    <mergeCell ref="K187:L187"/>
    <mergeCell ref="K188:L188"/>
    <mergeCell ref="K50:L50"/>
    <mergeCell ref="K48:L48"/>
    <mergeCell ref="B53:I53"/>
    <mergeCell ref="K57:L57"/>
    <mergeCell ref="K55:L55"/>
    <mergeCell ref="B120:I120"/>
    <mergeCell ref="K122:L122"/>
    <mergeCell ref="K124:L124"/>
    <mergeCell ref="B176:I176"/>
    <mergeCell ref="B70:I70"/>
    <mergeCell ref="K72:L72"/>
    <mergeCell ref="K74:L74"/>
    <mergeCell ref="B91:I91"/>
    <mergeCell ref="K93:L93"/>
    <mergeCell ref="N32:O32"/>
    <mergeCell ref="N33:O33"/>
    <mergeCell ref="K212:L212"/>
    <mergeCell ref="B223:I223"/>
    <mergeCell ref="N20:O20"/>
    <mergeCell ref="N21:O21"/>
    <mergeCell ref="N22:O22"/>
    <mergeCell ref="N23:O23"/>
    <mergeCell ref="N28:O28"/>
    <mergeCell ref="N29:O29"/>
    <mergeCell ref="N30:O30"/>
    <mergeCell ref="N31:O31"/>
    <mergeCell ref="B197:I197"/>
    <mergeCell ref="K199:L199"/>
    <mergeCell ref="K200:L200"/>
    <mergeCell ref="K95:L95"/>
    <mergeCell ref="N19:O19"/>
    <mergeCell ref="N24:O24"/>
    <mergeCell ref="N25:O25"/>
    <mergeCell ref="N26:O26"/>
    <mergeCell ref="N27:O27"/>
  </mergeCells>
  <phoneticPr fontId="3"/>
  <conditionalFormatting sqref="S21:S28 K123:L123 K125:L125 K96:L96 K94:L94 K75:L75 K73:L73 K56:L56 K58:L58 K40:L40 K42:L42 K32:L32 K30:L30 K11:L11 Q5:Q6 O5:O6 K21:L21 T20:T33 K23:L23 S39:S46 T38:T51">
    <cfRule type="containsText" dxfId="8" priority="31" operator="containsText" text="FALSE">
      <formula>NOT(ISERROR(SEARCH("FALSE",K5)))</formula>
    </cfRule>
  </conditionalFormatting>
  <conditionalFormatting sqref="H211:H220 H39:H46 H178:H183 H187:H195 H199:H207 H50:H51 H9:H17 H21:H25 H29:H36 H55:H68 H92:H118 H121:H174 H71:H89">
    <cfRule type="expression" dxfId="7" priority="30">
      <formula>AND(F9&lt;&gt;0,H9="R")</formula>
    </cfRule>
  </conditionalFormatting>
  <conditionalFormatting sqref="H72:H89">
    <cfRule type="expression" dxfId="6" priority="28">
      <formula>AND(F72&lt;&gt;0,H72="R")</formula>
    </cfRule>
  </conditionalFormatting>
  <conditionalFormatting sqref="L13 L25 L34 L44 L52 L60 L77 L98 L127 L181 L190 L202 L214">
    <cfRule type="containsText" dxfId="5" priority="22" operator="containsText" text="重複">
      <formula>NOT(ISERROR(SEARCH("重複",L13)))</formula>
    </cfRule>
  </conditionalFormatting>
  <dataValidations count="7">
    <dataValidation type="list" allowBlank="1" showInputMessage="1" showErrorMessage="1" sqref="H174">
      <formula1>#REF!</formula1>
    </dataValidation>
    <dataValidation allowBlank="1" showInputMessage="1" showErrorMessage="1" prompt="科目名を各自で記入" sqref="C184"/>
    <dataValidation type="list" allowBlank="1" showInputMessage="1" showErrorMessage="1" prompt="留学生のみ英語可" sqref="C38">
      <formula1>"ドイツ語,フランス語,ロシア語,中国語,英語"</formula1>
    </dataValidation>
    <dataValidation type="list" allowBlank="1" showInputMessage="1" showErrorMessage="1" prompt="留学生は日本語を選択" sqref="C28">
      <formula1>"英語,日本語"</formula1>
    </dataValidation>
    <dataValidation type="list" allowBlank="1" showInputMessage="1" showErrorMessage="1" sqref="H211:H220 H50:H51 H199:H207 H187:H195 H178:H183 H93:H118 H72:H89 H55:H68 H29:H36 H39:H46 H21:H25 H9:H17 H122:H173">
      <formula1>"―,R"</formula1>
    </dataValidation>
    <dataValidation type="list" allowBlank="1" showInputMessage="1" showErrorMessage="1" sqref="E211:E220 E39:E46 E187:E195 E29:E36 E178:E183 E199:E207 E122:E174 E93:E118 E72:E89 E55:E68 E9:E17 E21:E25 E50:E51">
      <formula1>"S,A,B,C,F,―"</formula1>
    </dataValidation>
    <dataValidation type="list" allowBlank="1" showInputMessage="1" showErrorMessage="1" prompt="履修科目を選択" sqref="C9:C17">
      <formula1>$AH$3:$AH$35</formula1>
    </dataValidation>
  </dataValidations>
  <pageMargins left="0.7" right="0.7" top="0.75" bottom="0.75" header="0.3" footer="0.3"/>
  <pageSetup paperSize="9" scale="97" orientation="portrait" horizontalDpi="300" verticalDpi="300" r:id="rId1"/>
  <colBreaks count="1" manualBreakCount="1">
    <brk id="12"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0"/>
  <sheetViews>
    <sheetView showGridLines="0" showRowColHeaders="0" view="pageBreakPreview" zoomScaleNormal="70" zoomScaleSheetLayoutView="100" workbookViewId="0">
      <selection activeCell="E18" sqref="E18"/>
    </sheetView>
  </sheetViews>
  <sheetFormatPr defaultRowHeight="13.2" x14ac:dyDescent="0.2"/>
  <cols>
    <col min="1" max="1" width="2.44140625" customWidth="1"/>
    <col min="2" max="2" width="9.5546875" customWidth="1"/>
    <col min="3" max="3" width="7.6640625" style="1" customWidth="1"/>
    <col min="4" max="4" width="26.21875" customWidth="1"/>
    <col min="5" max="5" width="7.88671875" customWidth="1"/>
    <col min="6" max="6" width="7.6640625" customWidth="1"/>
    <col min="7" max="7" width="6.21875" customWidth="1"/>
    <col min="8" max="8" width="13" style="1" customWidth="1"/>
    <col min="9" max="9" width="39.5546875" style="37" customWidth="1"/>
    <col min="10" max="10" width="2.6640625" customWidth="1"/>
  </cols>
  <sheetData>
    <row r="1" spans="2:13" ht="21.6" customHeight="1" x14ac:dyDescent="0.2">
      <c r="B1" s="252"/>
      <c r="C1" s="257" t="s">
        <v>557</v>
      </c>
      <c r="D1" s="252"/>
      <c r="E1" s="252"/>
      <c r="F1" s="252"/>
      <c r="G1" s="258"/>
      <c r="H1" s="259"/>
      <c r="I1" s="260">
        <f>ID!C3</f>
        <v>2015</v>
      </c>
      <c r="L1" s="2"/>
      <c r="M1" s="47" t="str">
        <f>IF(I1=0,"IDを記入すること","")</f>
        <v/>
      </c>
    </row>
    <row r="2" spans="2:13" ht="17.399999999999999" customHeight="1" x14ac:dyDescent="0.2">
      <c r="B2" s="45" t="str">
        <f>ID!$C$6</f>
        <v>153RXXXXX</v>
      </c>
      <c r="D2" s="45" t="str">
        <f>CONCATENATE(ID!C8,"年 ",ID!C9,"組 ",ID!C10,"番")</f>
        <v>1年 5組 100番</v>
      </c>
      <c r="H2" s="32" t="s">
        <v>1</v>
      </c>
      <c r="I2" s="46" t="str">
        <f>ID!C4</f>
        <v>明治　紫紺</v>
      </c>
    </row>
    <row r="3" spans="2:13" ht="8.4" customHeight="1" x14ac:dyDescent="0.2"/>
    <row r="4" spans="2:13" ht="7.2" customHeight="1" x14ac:dyDescent="0.2">
      <c r="E4" s="53"/>
      <c r="F4" s="53"/>
    </row>
    <row r="5" spans="2:13" ht="17.399999999999999" customHeight="1" x14ac:dyDescent="0.2">
      <c r="B5" s="328" t="s">
        <v>687</v>
      </c>
      <c r="C5" s="328"/>
      <c r="D5" s="328"/>
      <c r="E5" s="328" t="s">
        <v>688</v>
      </c>
      <c r="F5" s="328"/>
      <c r="G5" s="328" t="s">
        <v>284</v>
      </c>
      <c r="H5" s="328"/>
      <c r="I5" s="328"/>
    </row>
    <row r="6" spans="2:13" ht="27" customHeight="1" x14ac:dyDescent="0.2">
      <c r="B6" s="5" t="s">
        <v>252</v>
      </c>
      <c r="C6" s="55" t="s">
        <v>286</v>
      </c>
      <c r="D6" s="14" t="s">
        <v>253</v>
      </c>
      <c r="E6" s="12" t="s">
        <v>7</v>
      </c>
      <c r="F6" s="12" t="s">
        <v>306</v>
      </c>
      <c r="G6" s="12" t="s">
        <v>230</v>
      </c>
      <c r="H6" s="12" t="s">
        <v>287</v>
      </c>
      <c r="I6" s="12" t="s">
        <v>285</v>
      </c>
    </row>
    <row r="7" spans="2:13" ht="19.2" customHeight="1" x14ac:dyDescent="0.2">
      <c r="B7" s="3" t="s">
        <v>262</v>
      </c>
      <c r="C7" s="15" t="s">
        <v>255</v>
      </c>
      <c r="D7" s="3" t="s">
        <v>263</v>
      </c>
      <c r="E7" s="210" t="s">
        <v>14</v>
      </c>
      <c r="F7" s="202">
        <f t="shared" ref="F7" si="0">IF(E7="S",12,IF(E7="A",9,IF(E7="B",6,IF(E7="C",3,IF(E7="F",2,IF(E7="G",1,0))))))</f>
        <v>0</v>
      </c>
      <c r="G7" s="202" t="s">
        <v>686</v>
      </c>
      <c r="H7" s="202" t="s">
        <v>288</v>
      </c>
      <c r="I7" s="209" t="s">
        <v>292</v>
      </c>
    </row>
    <row r="8" spans="2:13" ht="19.2" customHeight="1" x14ac:dyDescent="0.2">
      <c r="B8" s="3" t="s">
        <v>262</v>
      </c>
      <c r="C8" s="15" t="s">
        <v>255</v>
      </c>
      <c r="D8" s="3" t="s">
        <v>264</v>
      </c>
      <c r="E8" s="210" t="s">
        <v>14</v>
      </c>
      <c r="F8" s="202">
        <f>IF(E8="S",12,IF(E8="A",9,IF(E8="B",6,IF(E8="C",3,IF(E8="F",2,IF(E8="G",1,0))))))</f>
        <v>0</v>
      </c>
      <c r="G8" s="202" t="s">
        <v>686</v>
      </c>
      <c r="H8" s="202" t="s">
        <v>288</v>
      </c>
      <c r="I8" s="209" t="s">
        <v>292</v>
      </c>
    </row>
    <row r="9" spans="2:13" ht="19.2" customHeight="1" x14ac:dyDescent="0.2">
      <c r="B9" s="3" t="s">
        <v>262</v>
      </c>
      <c r="C9" s="15" t="s">
        <v>255</v>
      </c>
      <c r="D9" s="3" t="s">
        <v>265</v>
      </c>
      <c r="E9" s="210" t="s">
        <v>14</v>
      </c>
      <c r="F9" s="202">
        <f t="shared" ref="F9" si="1">IF(E9="S",12,IF(E9="A",9,IF(E9="B",6,IF(E9="C",3,IF(E9="F",2,IF(E9="G",1,0))))))</f>
        <v>0</v>
      </c>
      <c r="G9" s="202" t="s">
        <v>686</v>
      </c>
      <c r="H9" s="202" t="s">
        <v>288</v>
      </c>
      <c r="I9" s="209" t="s">
        <v>292</v>
      </c>
    </row>
    <row r="10" spans="2:13" ht="31.8" customHeight="1" x14ac:dyDescent="0.2">
      <c r="B10" s="5" t="s">
        <v>268</v>
      </c>
      <c r="C10" s="95" t="s">
        <v>291</v>
      </c>
      <c r="D10" s="5" t="s">
        <v>745</v>
      </c>
      <c r="E10" s="210" t="s">
        <v>14</v>
      </c>
      <c r="F10" s="12">
        <f>IF(E10="S",4,IF(E10="A",3,IF(E10="B",2,IF(E10="C",1,0))))</f>
        <v>0</v>
      </c>
      <c r="G10" s="12" t="s">
        <v>257</v>
      </c>
      <c r="H10" s="201" t="s">
        <v>619</v>
      </c>
      <c r="I10" s="195" t="s">
        <v>535</v>
      </c>
    </row>
    <row r="11" spans="2:13" ht="19.2" customHeight="1" x14ac:dyDescent="0.2">
      <c r="B11" s="5" t="s">
        <v>270</v>
      </c>
      <c r="C11" s="95" t="s">
        <v>291</v>
      </c>
      <c r="D11" s="5" t="s">
        <v>271</v>
      </c>
      <c r="E11" s="210" t="s">
        <v>14</v>
      </c>
      <c r="F11" s="12">
        <f t="shared" ref="F11:F13" si="2">IF(E11="S",4,IF(E11="A",3,IF(E11="B",2,IF(E11="C",1,0))))</f>
        <v>0</v>
      </c>
      <c r="G11" s="12" t="s">
        <v>256</v>
      </c>
      <c r="H11" s="12" t="s">
        <v>290</v>
      </c>
      <c r="I11" s="11" t="s">
        <v>617</v>
      </c>
    </row>
    <row r="12" spans="2:13" ht="19.2" customHeight="1" x14ac:dyDescent="0.2">
      <c r="B12" s="5" t="s">
        <v>272</v>
      </c>
      <c r="C12" s="95" t="s">
        <v>291</v>
      </c>
      <c r="D12" s="5" t="s">
        <v>273</v>
      </c>
      <c r="E12" s="210" t="s">
        <v>14</v>
      </c>
      <c r="F12" s="12">
        <f t="shared" si="2"/>
        <v>0</v>
      </c>
      <c r="G12" s="12" t="s">
        <v>256</v>
      </c>
      <c r="H12" s="12" t="s">
        <v>290</v>
      </c>
      <c r="I12" s="11" t="s">
        <v>617</v>
      </c>
    </row>
    <row r="13" spans="2:13" ht="19.2" customHeight="1" x14ac:dyDescent="0.2">
      <c r="B13" s="5" t="s">
        <v>274</v>
      </c>
      <c r="C13" s="95" t="s">
        <v>291</v>
      </c>
      <c r="D13" s="5" t="s">
        <v>666</v>
      </c>
      <c r="E13" s="210" t="s">
        <v>14</v>
      </c>
      <c r="F13" s="12">
        <f t="shared" si="2"/>
        <v>0</v>
      </c>
      <c r="G13" s="12" t="s">
        <v>256</v>
      </c>
      <c r="H13" s="12" t="s">
        <v>290</v>
      </c>
      <c r="I13" s="11" t="s">
        <v>617</v>
      </c>
    </row>
    <row r="14" spans="2:13" ht="19.2" customHeight="1" x14ac:dyDescent="0.2">
      <c r="B14" s="5" t="s">
        <v>278</v>
      </c>
      <c r="C14" s="15" t="s">
        <v>255</v>
      </c>
      <c r="D14" s="5" t="s">
        <v>279</v>
      </c>
      <c r="E14" s="210" t="s">
        <v>14</v>
      </c>
      <c r="F14" s="12">
        <f>IF(E14="S",4,IF(E14="A",3,IF(E14="B",2,IF(E14="C",1,0))))</f>
        <v>0</v>
      </c>
      <c r="G14" s="12" t="s">
        <v>256</v>
      </c>
      <c r="H14" s="12" t="s">
        <v>289</v>
      </c>
      <c r="I14" s="11" t="s">
        <v>534</v>
      </c>
    </row>
    <row r="15" spans="2:13" ht="30" customHeight="1" x14ac:dyDescent="0.2">
      <c r="B15" s="5" t="s">
        <v>280</v>
      </c>
      <c r="C15" s="95" t="s">
        <v>291</v>
      </c>
      <c r="D15" s="5" t="s">
        <v>281</v>
      </c>
      <c r="E15" s="210" t="s">
        <v>14</v>
      </c>
      <c r="F15" s="12">
        <f>IF(E15="S",4,IF(E15="A",3,IF(E15="B",2,IF(E15="C",1,0))))</f>
        <v>0</v>
      </c>
      <c r="G15" s="12" t="s">
        <v>260</v>
      </c>
      <c r="H15" s="201" t="s">
        <v>619</v>
      </c>
      <c r="I15" s="195" t="s">
        <v>667</v>
      </c>
    </row>
    <row r="16" spans="2:13" ht="19.2" customHeight="1" x14ac:dyDescent="0.2">
      <c r="B16" s="5" t="s">
        <v>613</v>
      </c>
      <c r="C16" s="95" t="s">
        <v>291</v>
      </c>
      <c r="D16" s="5" t="s">
        <v>282</v>
      </c>
      <c r="E16" s="210" t="s">
        <v>14</v>
      </c>
      <c r="F16" s="12">
        <f t="shared" ref="F16:F18" si="3">IF(E16="S",4,IF(E16="A",3,IF(E16="B",2,IF(E16="C",1,0))))</f>
        <v>0</v>
      </c>
      <c r="G16" s="12" t="s">
        <v>256</v>
      </c>
      <c r="H16" s="12" t="s">
        <v>290</v>
      </c>
      <c r="I16" s="11" t="s">
        <v>615</v>
      </c>
    </row>
    <row r="17" spans="2:9" ht="19.2" customHeight="1" x14ac:dyDescent="0.2">
      <c r="B17" s="5" t="s">
        <v>616</v>
      </c>
      <c r="C17" s="95" t="s">
        <v>291</v>
      </c>
      <c r="D17" s="5" t="s">
        <v>621</v>
      </c>
      <c r="E17" s="210" t="s">
        <v>14</v>
      </c>
      <c r="F17" s="203">
        <f t="shared" si="3"/>
        <v>0</v>
      </c>
      <c r="G17" s="203" t="s">
        <v>256</v>
      </c>
      <c r="H17" s="203" t="s">
        <v>290</v>
      </c>
      <c r="I17" s="11" t="s">
        <v>615</v>
      </c>
    </row>
    <row r="18" spans="2:9" ht="18.600000000000001" customHeight="1" x14ac:dyDescent="0.2">
      <c r="B18" s="5" t="s">
        <v>620</v>
      </c>
      <c r="C18" s="95" t="s">
        <v>291</v>
      </c>
      <c r="D18" s="5" t="s">
        <v>614</v>
      </c>
      <c r="E18" s="210" t="s">
        <v>14</v>
      </c>
      <c r="F18" s="12">
        <f>IF(E18="S",8,IF(E18="A",6,IF(E18="B",4,IF(E18="C",2,0))))</f>
        <v>0</v>
      </c>
      <c r="G18" s="12" t="s">
        <v>256</v>
      </c>
      <c r="H18" s="12" t="s">
        <v>290</v>
      </c>
      <c r="I18" s="11" t="s">
        <v>615</v>
      </c>
    </row>
    <row r="19" spans="2:9" x14ac:dyDescent="0.2">
      <c r="D19" s="53"/>
      <c r="E19" s="53"/>
      <c r="F19" s="53"/>
    </row>
    <row r="20" spans="2:9" ht="15.6" customHeight="1" x14ac:dyDescent="0.2">
      <c r="C20" s="208" t="s">
        <v>618</v>
      </c>
    </row>
  </sheetData>
  <protectedRanges>
    <protectedRange sqref="E7:E18" name="成績入力"/>
  </protectedRanges>
  <sortState ref="B8:J31">
    <sortCondition ref="G8:G31"/>
    <sortCondition ref="C8:C31"/>
    <sortCondition ref="B8:B31"/>
  </sortState>
  <mergeCells count="3">
    <mergeCell ref="G5:I5"/>
    <mergeCell ref="B5:D5"/>
    <mergeCell ref="E5:F5"/>
  </mergeCells>
  <phoneticPr fontId="3"/>
  <dataValidations count="1">
    <dataValidation type="list" allowBlank="1" showInputMessage="1" showErrorMessage="1" sqref="E7:E18">
      <formula1>"S,A,B,C,F,―"</formula1>
    </dataValidation>
  </dataValidation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1"/>
  <sheetViews>
    <sheetView showGridLines="0" showRowColHeaders="0" view="pageBreakPreview" topLeftCell="D1" zoomScale="90" zoomScaleNormal="70" zoomScaleSheetLayoutView="90" workbookViewId="0">
      <pane ySplit="3" topLeftCell="A82" activePane="bottomLeft" state="frozen"/>
      <selection pane="bottomLeft" activeCell="X11" sqref="X11"/>
    </sheetView>
  </sheetViews>
  <sheetFormatPr defaultRowHeight="13.2" x14ac:dyDescent="0.2"/>
  <cols>
    <col min="1" max="1" width="4" customWidth="1"/>
    <col min="2" max="2" width="5.109375" style="106" customWidth="1"/>
    <col min="3" max="3" width="6.21875" customWidth="1"/>
    <col min="4" max="4" width="4.109375" customWidth="1"/>
    <col min="5" max="5" width="4" customWidth="1"/>
    <col min="6" max="6" width="7" customWidth="1"/>
    <col min="7" max="7" width="14.77734375" customWidth="1"/>
    <col min="8" max="8" width="6.44140625" customWidth="1"/>
    <col min="9" max="9" width="5.6640625" customWidth="1"/>
    <col min="10" max="10" width="35.33203125" style="54" customWidth="1"/>
    <col min="11" max="11" width="7.44140625" style="1" customWidth="1"/>
    <col min="12" max="12" width="2.33203125" customWidth="1"/>
    <col min="13" max="19" width="3.88671875" customWidth="1"/>
    <col min="20" max="21" width="6.33203125" style="106" customWidth="1"/>
    <col min="22" max="22" width="5.109375" customWidth="1"/>
    <col min="23" max="23" width="4.5546875" style="1" customWidth="1"/>
  </cols>
  <sheetData>
    <row r="1" spans="1:37" ht="27" customHeight="1" thickBot="1" x14ac:dyDescent="0.25">
      <c r="B1" s="285" t="s">
        <v>293</v>
      </c>
      <c r="C1" s="286"/>
      <c r="D1" s="287"/>
      <c r="E1" s="287"/>
      <c r="F1" s="286"/>
      <c r="G1" s="161" t="s">
        <v>294</v>
      </c>
      <c r="H1" s="162">
        <f>COUNTIF(H5:H68,TRUE)</f>
        <v>0</v>
      </c>
      <c r="I1" s="249" t="s">
        <v>677</v>
      </c>
      <c r="J1" s="164" t="s">
        <v>536</v>
      </c>
      <c r="K1" s="163">
        <f>SUM(K5:K88)</f>
        <v>1</v>
      </c>
      <c r="M1" s="37" t="s">
        <v>501</v>
      </c>
      <c r="N1" s="1"/>
      <c r="O1" s="1"/>
      <c r="P1" s="1"/>
      <c r="Q1" s="1"/>
      <c r="R1" s="1"/>
      <c r="S1" s="1"/>
      <c r="T1" s="266" t="s">
        <v>692</v>
      </c>
      <c r="U1" s="265">
        <f>SUM(U5:U88)</f>
        <v>152</v>
      </c>
    </row>
    <row r="2" spans="1:37" x14ac:dyDescent="0.2">
      <c r="C2" s="48"/>
      <c r="D2" s="48"/>
      <c r="E2" s="48"/>
      <c r="I2" s="86"/>
      <c r="J2" s="87"/>
      <c r="K2" s="88"/>
      <c r="M2" s="26"/>
      <c r="N2" s="26"/>
      <c r="O2" s="26"/>
      <c r="P2" s="26"/>
      <c r="Q2" s="26"/>
      <c r="R2" s="26"/>
      <c r="S2" s="26"/>
    </row>
    <row r="3" spans="1:37" s="54" customFormat="1" ht="37.200000000000003" customHeight="1" x14ac:dyDescent="0.2">
      <c r="A3"/>
      <c r="B3" s="89" t="s">
        <v>295</v>
      </c>
      <c r="C3" s="89" t="s">
        <v>224</v>
      </c>
      <c r="D3" s="89" t="s">
        <v>296</v>
      </c>
      <c r="E3" s="89" t="s">
        <v>312</v>
      </c>
      <c r="F3" s="90" t="s">
        <v>498</v>
      </c>
      <c r="G3" s="91" t="s">
        <v>254</v>
      </c>
      <c r="H3" s="165" t="s">
        <v>224</v>
      </c>
      <c r="I3" s="165" t="s">
        <v>308</v>
      </c>
      <c r="J3" s="165" t="s">
        <v>285</v>
      </c>
      <c r="K3" s="98" t="s">
        <v>367</v>
      </c>
      <c r="L3"/>
      <c r="M3" s="365" t="s">
        <v>298</v>
      </c>
      <c r="N3" s="366"/>
      <c r="O3" s="366"/>
      <c r="P3" s="366"/>
      <c r="Q3" s="366"/>
      <c r="R3" s="366"/>
      <c r="S3" s="366"/>
      <c r="T3" s="93" t="s">
        <v>404</v>
      </c>
      <c r="U3" s="229" t="s">
        <v>509</v>
      </c>
      <c r="W3" s="98" t="s">
        <v>499</v>
      </c>
      <c r="X3" s="369" t="s">
        <v>500</v>
      </c>
      <c r="Y3" s="369"/>
      <c r="Z3" s="369"/>
      <c r="AA3" s="369"/>
      <c r="AB3" s="369"/>
      <c r="AC3" s="369"/>
      <c r="AD3" s="369"/>
      <c r="AE3" s="369"/>
      <c r="AF3" s="369"/>
      <c r="AG3" s="369"/>
      <c r="AH3" s="369"/>
      <c r="AI3" s="369"/>
      <c r="AJ3" s="369"/>
      <c r="AK3" s="369"/>
    </row>
    <row r="4" spans="1:37" ht="12" customHeight="1" thickBot="1" x14ac:dyDescent="0.25">
      <c r="J4"/>
      <c r="T4" s="129"/>
      <c r="U4" s="134"/>
    </row>
    <row r="5" spans="1:37" ht="42.6" customHeight="1" x14ac:dyDescent="0.2">
      <c r="B5" s="353" t="s">
        <v>299</v>
      </c>
      <c r="C5" s="351" t="b">
        <f>IF(D5&gt;=E5,TRUE,FALSE)</f>
        <v>0</v>
      </c>
      <c r="D5" s="356">
        <f>COUNTIF(H5:H12,TRUE)</f>
        <v>0</v>
      </c>
      <c r="E5" s="356">
        <v>3</v>
      </c>
      <c r="F5" s="122" t="s">
        <v>301</v>
      </c>
      <c r="G5" s="64" t="s">
        <v>302</v>
      </c>
      <c r="H5" s="204" t="b">
        <f>OR(K5&gt;=P5)</f>
        <v>0</v>
      </c>
      <c r="I5" s="65" t="str">
        <f>HLOOKUP(K5,M5:S6,2)</f>
        <v>H</v>
      </c>
      <c r="J5" s="73" t="s">
        <v>309</v>
      </c>
      <c r="K5" s="135">
        <f>W6</f>
        <v>0</v>
      </c>
      <c r="M5" s="83">
        <v>0</v>
      </c>
      <c r="N5" s="83">
        <v>4</v>
      </c>
      <c r="O5" s="83">
        <v>7</v>
      </c>
      <c r="P5" s="66">
        <v>10</v>
      </c>
      <c r="Q5" s="66">
        <v>20</v>
      </c>
      <c r="R5" s="66">
        <v>30</v>
      </c>
      <c r="S5" s="107">
        <v>40</v>
      </c>
      <c r="T5" s="130" t="s">
        <v>403</v>
      </c>
      <c r="U5" s="133" t="s">
        <v>505</v>
      </c>
      <c r="W5" s="93" t="s">
        <v>412</v>
      </c>
      <c r="X5" s="112" t="str">
        <f>'IN1'!C9</f>
        <v>―</v>
      </c>
      <c r="Y5" s="112" t="str">
        <f>'IN1'!C10</f>
        <v>―</v>
      </c>
      <c r="Z5" s="112" t="str">
        <f>'IN1'!C11</f>
        <v>―</v>
      </c>
      <c r="AA5" s="112" t="str">
        <f>'IN1'!C12</f>
        <v>―</v>
      </c>
      <c r="AB5" s="112" t="str">
        <f>'IN1'!C13</f>
        <v>―</v>
      </c>
      <c r="AC5" s="112" t="str">
        <f>'IN1'!C14</f>
        <v>―</v>
      </c>
      <c r="AD5" s="112" t="str">
        <f>'IN1'!C15</f>
        <v>―</v>
      </c>
      <c r="AE5" s="112" t="str">
        <f>'IN1'!C16</f>
        <v>―</v>
      </c>
      <c r="AF5" s="112" t="str">
        <f>'IN1'!C17</f>
        <v>―</v>
      </c>
      <c r="AG5" s="116" t="s">
        <v>490</v>
      </c>
      <c r="AH5" s="116" t="s">
        <v>491</v>
      </c>
      <c r="AI5" s="116" t="s">
        <v>23</v>
      </c>
      <c r="AJ5" s="116" t="s">
        <v>24</v>
      </c>
      <c r="AK5" s="117" t="s">
        <v>492</v>
      </c>
    </row>
    <row r="6" spans="1:37" x14ac:dyDescent="0.2">
      <c r="B6" s="354"/>
      <c r="C6" s="314"/>
      <c r="D6" s="357"/>
      <c r="E6" s="357"/>
      <c r="F6" s="123"/>
      <c r="G6" s="14"/>
      <c r="H6" s="56"/>
      <c r="I6" s="203"/>
      <c r="J6" s="74"/>
      <c r="K6" s="136"/>
      <c r="M6" s="84" t="s">
        <v>307</v>
      </c>
      <c r="N6" s="84" t="s">
        <v>297</v>
      </c>
      <c r="O6" s="84" t="s">
        <v>239</v>
      </c>
      <c r="P6" s="27" t="s">
        <v>59</v>
      </c>
      <c r="Q6" s="27" t="s">
        <v>237</v>
      </c>
      <c r="R6" s="27" t="s">
        <v>236</v>
      </c>
      <c r="S6" s="96" t="s">
        <v>234</v>
      </c>
      <c r="T6" s="128"/>
      <c r="U6" s="12">
        <v>10</v>
      </c>
      <c r="W6" s="93">
        <f>SUM(X6:AK6)</f>
        <v>0</v>
      </c>
      <c r="X6" s="72">
        <f>INDEX('IN1'!$G$8:$G$220,MATCH(Check!X5,'IN1'!$C$8:$C$220,0))</f>
        <v>0</v>
      </c>
      <c r="Y6" s="72">
        <f>INDEX('IN1'!$G$8:$G$220,MATCH(Check!Y5,'IN1'!$C$8:$C$220,0))</f>
        <v>0</v>
      </c>
      <c r="Z6" s="72">
        <f>INDEX('IN1'!$G$8:$G$220,MATCH(Check!Z5,'IN1'!$C$8:$C$220,0))</f>
        <v>0</v>
      </c>
      <c r="AA6" s="72">
        <f>INDEX('IN1'!$G$8:$G$220,MATCH(Check!AA5,'IN1'!$C$8:$C$220,0))</f>
        <v>0</v>
      </c>
      <c r="AB6" s="72">
        <f>INDEX('IN1'!$G$8:$G$220,MATCH(Check!AB5,'IN1'!$C$8:$C$220,0))</f>
        <v>0</v>
      </c>
      <c r="AC6" s="72">
        <f>INDEX('IN1'!$G$8:$G$220,MATCH(Check!AC5,'IN1'!$C$8:$C$220,0))</f>
        <v>0</v>
      </c>
      <c r="AD6" s="72">
        <f>INDEX('IN1'!$G$8:$G$220,MATCH(Check!AD5,'IN1'!$C$8:$C$220,0))</f>
        <v>0</v>
      </c>
      <c r="AE6" s="72">
        <f>INDEX('IN1'!$G$8:$G$220,MATCH(Check!AE5,'IN1'!$C$8:$C$220,0))</f>
        <v>0</v>
      </c>
      <c r="AF6" s="72">
        <f>INDEX('IN1'!$G$8:$G$220,MATCH(Check!AF5,'IN1'!$C$8:$C$220,0))</f>
        <v>0</v>
      </c>
      <c r="AG6" s="72">
        <f>INDEX('IN1'!$G$8:$G$220,MATCH(Check!AG5,'IN1'!$C$8:$C$220,0))</f>
        <v>0</v>
      </c>
      <c r="AH6" s="72">
        <f>INDEX('IN1'!$G$8:$G$220,MATCH(Check!AH5,'IN1'!$C$8:$C$220,0))</f>
        <v>0</v>
      </c>
      <c r="AI6" s="72">
        <f>INDEX('IN1'!$G$8:$G$220,MATCH(Check!AI5,'IN1'!$C$8:$C$220,0))</f>
        <v>0</v>
      </c>
      <c r="AJ6" s="72">
        <f>INDEX('IN1'!$G$8:$G$220,MATCH(Check!AJ5,'IN1'!$C$8:$C$220,0))</f>
        <v>0</v>
      </c>
      <c r="AK6" s="72">
        <f>INDEX('IN1'!$G$8:$G$220,MATCH(Check!AK5,'IN1'!$C$8:$C$220,0))</f>
        <v>0</v>
      </c>
    </row>
    <row r="7" spans="1:37" ht="52.8" x14ac:dyDescent="0.2">
      <c r="B7" s="354"/>
      <c r="C7" s="314"/>
      <c r="D7" s="357"/>
      <c r="E7" s="357"/>
      <c r="F7" s="123" t="s">
        <v>311</v>
      </c>
      <c r="G7" s="14" t="s">
        <v>310</v>
      </c>
      <c r="H7" s="200" t="b">
        <f>OR(K7&gt;=P7)</f>
        <v>0</v>
      </c>
      <c r="I7" s="203" t="str">
        <f>HLOOKUP(K7,M7:S8,2)</f>
        <v>H</v>
      </c>
      <c r="J7" s="74" t="s">
        <v>506</v>
      </c>
      <c r="K7" s="136">
        <f>W8</f>
        <v>0</v>
      </c>
      <c r="M7" s="84">
        <v>0</v>
      </c>
      <c r="N7" s="84">
        <v>6</v>
      </c>
      <c r="O7" s="84">
        <v>10</v>
      </c>
      <c r="P7" s="27">
        <v>14</v>
      </c>
      <c r="Q7" s="27">
        <v>24</v>
      </c>
      <c r="R7" s="27">
        <v>34</v>
      </c>
      <c r="S7" s="96">
        <v>44</v>
      </c>
      <c r="T7" s="128" t="s">
        <v>403</v>
      </c>
      <c r="U7" s="133" t="s">
        <v>505</v>
      </c>
      <c r="W7" s="93" t="s">
        <v>412</v>
      </c>
      <c r="X7" s="72" t="str">
        <f>'IN1'!C29</f>
        <v>英語コミュニケーション１</v>
      </c>
      <c r="Y7" s="72" t="str">
        <f>'IN1'!C30</f>
        <v>英語コミュニケーション２</v>
      </c>
      <c r="Z7" s="72" t="str">
        <f>'IN1'!C31</f>
        <v>英語コミュニケーション３</v>
      </c>
      <c r="AA7" s="72" t="str">
        <f>'IN1'!C32</f>
        <v>英語コミュニケーション４</v>
      </c>
      <c r="AB7" s="72" t="str">
        <f>'IN1'!C33</f>
        <v>英語リーディング１</v>
      </c>
      <c r="AC7" s="72" t="str">
        <f>'IN1'!C34</f>
        <v>英語リーディング２</v>
      </c>
      <c r="AD7" s="72" t="str">
        <f>'IN1'!C35</f>
        <v>英語リーディング３</v>
      </c>
      <c r="AE7" s="72" t="str">
        <f>'IN1'!C36</f>
        <v>英語リーディング４</v>
      </c>
      <c r="AF7" s="72" t="str">
        <f>'IN1'!C39</f>
        <v>ドイツ語１ａ</v>
      </c>
      <c r="AG7" s="72" t="str">
        <f>'IN1'!C40</f>
        <v>ドイツ語１ｂ</v>
      </c>
      <c r="AH7" s="72" t="str">
        <f>'IN1'!C41</f>
        <v>ドイツ語２ａ</v>
      </c>
      <c r="AI7" s="72" t="str">
        <f>'IN1'!C42</f>
        <v>ドイツ語２ｂ</v>
      </c>
      <c r="AJ7" s="72" t="str">
        <f>'IN1'!C43</f>
        <v>ドイツ語3</v>
      </c>
      <c r="AK7" s="72" t="str">
        <f>'IN1'!C44</f>
        <v>ドイツ語4</v>
      </c>
    </row>
    <row r="8" spans="1:37" x14ac:dyDescent="0.2">
      <c r="B8" s="354"/>
      <c r="C8" s="314"/>
      <c r="D8" s="357"/>
      <c r="E8" s="357"/>
      <c r="F8" s="123"/>
      <c r="G8" s="14"/>
      <c r="H8" s="200"/>
      <c r="I8" s="56"/>
      <c r="J8" s="60"/>
      <c r="K8" s="136"/>
      <c r="M8" s="84" t="s">
        <v>307</v>
      </c>
      <c r="N8" s="84" t="s">
        <v>297</v>
      </c>
      <c r="O8" s="84" t="s">
        <v>239</v>
      </c>
      <c r="P8" s="27" t="s">
        <v>59</v>
      </c>
      <c r="Q8" s="27" t="s">
        <v>237</v>
      </c>
      <c r="R8" s="27" t="s">
        <v>236</v>
      </c>
      <c r="S8" s="96" t="s">
        <v>234</v>
      </c>
      <c r="T8" s="128"/>
      <c r="U8" s="12">
        <v>14</v>
      </c>
      <c r="W8" s="93">
        <f>SUM(X8:AK8)</f>
        <v>0</v>
      </c>
      <c r="X8" s="72">
        <f>INDEX('IN1'!$G$8:$G$220,MATCH(Check!X7,'IN1'!$C$8:$C$220,0))</f>
        <v>0</v>
      </c>
      <c r="Y8" s="72">
        <f>INDEX('IN1'!$G$8:$G$220,MATCH(Check!Y7,'IN1'!$C$8:$C$220,0))</f>
        <v>0</v>
      </c>
      <c r="Z8" s="72">
        <f>INDEX('IN1'!$G$8:$G$220,MATCH(Check!Z7,'IN1'!$C$8:$C$220,0))</f>
        <v>0</v>
      </c>
      <c r="AA8" s="72">
        <f>INDEX('IN1'!$G$8:$G$220,MATCH(Check!AA7,'IN1'!$C$8:$C$220,0))</f>
        <v>0</v>
      </c>
      <c r="AB8" s="72">
        <f>INDEX('IN1'!$G$8:$G$220,MATCH(Check!AB7,'IN1'!$C$8:$C$220,0))</f>
        <v>0</v>
      </c>
      <c r="AC8" s="72">
        <f>INDEX('IN1'!$G$8:$G$220,MATCH(Check!AC7,'IN1'!$C$8:$C$220,0))</f>
        <v>0</v>
      </c>
      <c r="AD8" s="72">
        <f>INDEX('IN1'!$G$8:$G$220,MATCH(Check!AD7,'IN1'!$C$8:$C$220,0))</f>
        <v>0</v>
      </c>
      <c r="AE8" s="72">
        <f>INDEX('IN1'!$G$8:$G$220,MATCH(Check!AE7,'IN1'!$C$8:$C$220,0))</f>
        <v>0</v>
      </c>
      <c r="AF8" s="72">
        <f>INDEX('IN1'!$G$8:$G$220,MATCH(Check!AF7,'IN1'!$C$8:$C$220,0))</f>
        <v>0</v>
      </c>
      <c r="AG8" s="72">
        <f>INDEX('IN1'!$G$8:$G$220,MATCH(Check!AG7,'IN1'!$C$8:$C$220,0))</f>
        <v>0</v>
      </c>
      <c r="AH8" s="72">
        <f>INDEX('IN1'!$G$8:$G$220,MATCH(Check!AH7,'IN1'!$C$8:$C$220,0))</f>
        <v>0</v>
      </c>
      <c r="AI8" s="72">
        <f>INDEX('IN1'!$G$8:$G$220,MATCH(Check!AI7,'IN1'!$C$8:$C$220,0))</f>
        <v>0</v>
      </c>
      <c r="AJ8" s="72">
        <f>INDEX('IN1'!$G$8:$G$220,MATCH(Check!AJ7,'IN1'!$C$8:$C$220,0))</f>
        <v>0</v>
      </c>
      <c r="AK8" s="72">
        <f>INDEX('IN1'!$G$8:$G$220,MATCH(Check!AK7,'IN1'!$C$8:$C$220,0))</f>
        <v>0</v>
      </c>
    </row>
    <row r="9" spans="1:37" ht="39.6" x14ac:dyDescent="0.2">
      <c r="B9" s="354"/>
      <c r="C9" s="314"/>
      <c r="D9" s="357"/>
      <c r="E9" s="357"/>
      <c r="F9" s="123" t="s">
        <v>303</v>
      </c>
      <c r="G9" s="14" t="s">
        <v>537</v>
      </c>
      <c r="H9" s="200" t="b">
        <f>OR(K9&gt;=P9)</f>
        <v>0</v>
      </c>
      <c r="I9" s="203" t="str">
        <f>HLOOKUP(K9,M9:S10,2)</f>
        <v>H</v>
      </c>
      <c r="J9" s="74" t="s">
        <v>507</v>
      </c>
      <c r="K9" s="136">
        <f>W10</f>
        <v>0</v>
      </c>
      <c r="M9" s="84">
        <v>0</v>
      </c>
      <c r="N9" s="84">
        <v>1</v>
      </c>
      <c r="O9" s="84">
        <v>2</v>
      </c>
      <c r="P9" s="27">
        <v>3</v>
      </c>
      <c r="Q9" s="27">
        <v>5</v>
      </c>
      <c r="R9" s="27">
        <v>7</v>
      </c>
      <c r="S9" s="96">
        <v>10</v>
      </c>
      <c r="T9" s="128" t="s">
        <v>403</v>
      </c>
      <c r="U9" s="133" t="s">
        <v>505</v>
      </c>
      <c r="W9" s="93" t="s">
        <v>412</v>
      </c>
      <c r="X9" s="115" t="s">
        <v>30</v>
      </c>
      <c r="Y9" s="115" t="s">
        <v>31</v>
      </c>
      <c r="Z9" s="115" t="s">
        <v>32</v>
      </c>
      <c r="AA9" s="115" t="s">
        <v>33</v>
      </c>
      <c r="AB9" s="115" t="s">
        <v>34</v>
      </c>
      <c r="AC9" s="115" t="s">
        <v>35</v>
      </c>
      <c r="AD9" s="115" t="s">
        <v>36</v>
      </c>
      <c r="AE9" s="115" t="s">
        <v>37</v>
      </c>
      <c r="AF9" s="115" t="s">
        <v>38</v>
      </c>
      <c r="AG9" s="115" t="s">
        <v>39</v>
      </c>
      <c r="AH9" s="115" t="s">
        <v>40</v>
      </c>
      <c r="AI9" s="115" t="s">
        <v>41</v>
      </c>
      <c r="AJ9" s="115" t="s">
        <v>42</v>
      </c>
      <c r="AK9" s="115" t="s">
        <v>43</v>
      </c>
    </row>
    <row r="10" spans="1:37" x14ac:dyDescent="0.2">
      <c r="B10" s="354"/>
      <c r="C10" s="314"/>
      <c r="D10" s="357"/>
      <c r="E10" s="357"/>
      <c r="F10" s="53"/>
      <c r="G10" s="53"/>
      <c r="H10" s="200"/>
      <c r="I10" s="58"/>
      <c r="J10" s="61"/>
      <c r="K10" s="136"/>
      <c r="M10" s="84" t="s">
        <v>307</v>
      </c>
      <c r="N10" s="84" t="s">
        <v>297</v>
      </c>
      <c r="O10" s="84" t="s">
        <v>239</v>
      </c>
      <c r="P10" s="27" t="s">
        <v>59</v>
      </c>
      <c r="Q10" s="27" t="s">
        <v>237</v>
      </c>
      <c r="R10" s="27" t="s">
        <v>236</v>
      </c>
      <c r="S10" s="96" t="s">
        <v>234</v>
      </c>
      <c r="T10" s="128"/>
      <c r="U10" s="12">
        <v>3</v>
      </c>
      <c r="W10" s="93">
        <f>SUM(X10:AK10)</f>
        <v>0</v>
      </c>
      <c r="X10" s="72">
        <f>INDEX('IN1'!$G$8:$G$220,MATCH(Check!X9,'IN1'!$C$8:$C$220,0))</f>
        <v>0</v>
      </c>
      <c r="Y10" s="72">
        <f>INDEX('IN1'!$G$8:$G$220,MATCH(Check!Y9,'IN1'!$C$8:$C$220,0))</f>
        <v>0</v>
      </c>
      <c r="Z10" s="72">
        <f>INDEX('IN1'!$G$8:$G$220,MATCH(Check!Z9,'IN1'!$C$8:$C$220,0))</f>
        <v>0</v>
      </c>
      <c r="AA10" s="72">
        <f>INDEX('IN1'!$G$8:$G$220,MATCH(Check!AA9,'IN1'!$C$8:$C$220,0))</f>
        <v>0</v>
      </c>
      <c r="AB10" s="72">
        <f>INDEX('IN1'!$G$8:$G$220,MATCH(Check!AB9,'IN1'!$C$8:$C$220,0))</f>
        <v>0</v>
      </c>
      <c r="AC10" s="72">
        <f>INDEX('IN1'!$G$8:$G$220,MATCH(Check!AC9,'IN1'!$C$8:$C$220,0))</f>
        <v>0</v>
      </c>
      <c r="AD10" s="72">
        <f>INDEX('IN1'!$G$8:$G$220,MATCH(Check!AD9,'IN1'!$C$8:$C$220,0))</f>
        <v>0</v>
      </c>
      <c r="AE10" s="72">
        <f>INDEX('IN1'!$G$8:$G$220,MATCH(Check!AE9,'IN1'!$C$8:$C$220,0))</f>
        <v>0</v>
      </c>
      <c r="AF10" s="72">
        <f>INDEX('IN1'!$G$8:$G$220,MATCH(Check!AF9,'IN1'!$C$8:$C$220,0))</f>
        <v>0</v>
      </c>
      <c r="AG10" s="72">
        <f>INDEX('IN1'!$G$8:$G$220,MATCH(Check!AG9,'IN1'!$C$8:$C$220,0))</f>
        <v>0</v>
      </c>
      <c r="AH10" s="72">
        <f>INDEX('IN1'!$G$8:$G$220,MATCH(Check!AH9,'IN1'!$C$8:$C$220,0))</f>
        <v>0</v>
      </c>
      <c r="AI10" s="72">
        <f>INDEX('IN1'!$G$8:$G$220,MATCH(Check!AI9,'IN1'!$C$8:$C$220,0))</f>
        <v>0</v>
      </c>
      <c r="AJ10" s="72">
        <f>INDEX('IN1'!$G$8:$G$220,MATCH(Check!AJ9,'IN1'!$C$8:$C$220,0))</f>
        <v>0</v>
      </c>
      <c r="AK10" s="72">
        <f>INDEX('IN1'!$G$8:$G$220,MATCH(Check!AK9,'IN1'!$C$8:$C$220,0))</f>
        <v>0</v>
      </c>
    </row>
    <row r="11" spans="1:37" ht="31.8" customHeight="1" x14ac:dyDescent="0.2">
      <c r="B11" s="354"/>
      <c r="C11" s="314"/>
      <c r="D11" s="357"/>
      <c r="E11" s="357"/>
      <c r="F11" s="123" t="s">
        <v>262</v>
      </c>
      <c r="G11" s="154" t="s">
        <v>512</v>
      </c>
      <c r="H11" s="200" t="b">
        <f>OR(K11&gt;=P11)</f>
        <v>0</v>
      </c>
      <c r="I11" s="203" t="str">
        <f>HLOOKUP(K11,M11:S12,2)</f>
        <v>H</v>
      </c>
      <c r="J11" s="155" t="s">
        <v>508</v>
      </c>
      <c r="K11" s="136">
        <f>SUM('IN2'!F7:F9)</f>
        <v>0</v>
      </c>
      <c r="M11" s="84">
        <v>0</v>
      </c>
      <c r="N11" s="84">
        <v>1</v>
      </c>
      <c r="O11" s="84">
        <v>2</v>
      </c>
      <c r="P11" s="27">
        <v>3</v>
      </c>
      <c r="Q11" s="27">
        <v>6</v>
      </c>
      <c r="R11" s="27">
        <v>9</v>
      </c>
      <c r="S11" s="96">
        <v>12</v>
      </c>
      <c r="T11" s="128" t="s">
        <v>493</v>
      </c>
      <c r="U11" s="133" t="s">
        <v>532</v>
      </c>
      <c r="X11" t="s">
        <v>502</v>
      </c>
    </row>
    <row r="12" spans="1:37" ht="13.8" thickBot="1" x14ac:dyDescent="0.25">
      <c r="B12" s="355"/>
      <c r="C12" s="352"/>
      <c r="D12" s="358"/>
      <c r="E12" s="358"/>
      <c r="F12" s="124"/>
      <c r="G12" s="68"/>
      <c r="H12" s="69"/>
      <c r="I12" s="69"/>
      <c r="J12" s="70"/>
      <c r="K12" s="137"/>
      <c r="M12" s="85" t="s">
        <v>307</v>
      </c>
      <c r="N12" s="85" t="s">
        <v>297</v>
      </c>
      <c r="O12" s="85" t="s">
        <v>239</v>
      </c>
      <c r="P12" s="71" t="s">
        <v>59</v>
      </c>
      <c r="Q12" s="71" t="s">
        <v>237</v>
      </c>
      <c r="R12" s="71" t="s">
        <v>236</v>
      </c>
      <c r="S12" s="108" t="s">
        <v>234</v>
      </c>
      <c r="T12" s="131"/>
      <c r="U12" s="12">
        <v>0</v>
      </c>
    </row>
    <row r="13" spans="1:37" ht="13.8" thickBot="1" x14ac:dyDescent="0.25">
      <c r="C13" s="75"/>
      <c r="J13"/>
      <c r="K13" s="138"/>
      <c r="T13" s="132"/>
      <c r="U13" s="134"/>
    </row>
    <row r="14" spans="1:37" ht="26.4" x14ac:dyDescent="0.2">
      <c r="B14" s="359" t="s">
        <v>300</v>
      </c>
      <c r="C14" s="343" t="b">
        <f>IF(D14&gt;=E14,TRUE,FALSE)</f>
        <v>0</v>
      </c>
      <c r="D14" s="346">
        <f>COUNTIF(H14:H17,TRUE)</f>
        <v>0</v>
      </c>
      <c r="E14" s="346">
        <v>1</v>
      </c>
      <c r="F14" s="63" t="s">
        <v>304</v>
      </c>
      <c r="G14" s="64" t="s">
        <v>305</v>
      </c>
      <c r="H14" s="118" t="b">
        <f>OR(K14&gt;=P14)</f>
        <v>0</v>
      </c>
      <c r="I14" s="65" t="str">
        <f>HLOOKUP(K14,M14:S15,2)</f>
        <v>F</v>
      </c>
      <c r="J14" s="160" t="s">
        <v>413</v>
      </c>
      <c r="K14" s="135">
        <f>W15</f>
        <v>0</v>
      </c>
      <c r="M14" s="83">
        <v>0</v>
      </c>
      <c r="N14" s="83">
        <v>0</v>
      </c>
      <c r="O14" s="83">
        <v>0</v>
      </c>
      <c r="P14" s="65">
        <v>2</v>
      </c>
      <c r="Q14" s="65">
        <v>4</v>
      </c>
      <c r="R14" s="65">
        <v>6</v>
      </c>
      <c r="S14" s="109">
        <v>8</v>
      </c>
      <c r="T14" s="130" t="s">
        <v>403</v>
      </c>
      <c r="U14" s="133" t="s">
        <v>505</v>
      </c>
      <c r="W14" s="93" t="s">
        <v>412</v>
      </c>
      <c r="X14" s="72" t="s">
        <v>413</v>
      </c>
    </row>
    <row r="15" spans="1:37" x14ac:dyDescent="0.2">
      <c r="B15" s="360"/>
      <c r="C15" s="344"/>
      <c r="D15" s="347"/>
      <c r="E15" s="347"/>
      <c r="F15" s="5"/>
      <c r="G15" s="14"/>
      <c r="H15" s="4"/>
      <c r="I15" s="59"/>
      <c r="J15" s="62"/>
      <c r="K15" s="136"/>
      <c r="M15" s="84" t="s">
        <v>307</v>
      </c>
      <c r="N15" s="84" t="s">
        <v>297</v>
      </c>
      <c r="O15" s="84" t="s">
        <v>239</v>
      </c>
      <c r="P15" s="27" t="s">
        <v>59</v>
      </c>
      <c r="Q15" s="27" t="s">
        <v>237</v>
      </c>
      <c r="R15" s="27" t="s">
        <v>236</v>
      </c>
      <c r="S15" s="96" t="s">
        <v>234</v>
      </c>
      <c r="T15" s="128"/>
      <c r="U15" s="12">
        <v>2</v>
      </c>
      <c r="W15" s="93">
        <f>SUM(X15:AE15)</f>
        <v>0</v>
      </c>
      <c r="X15" s="101">
        <f>INDEX('IN1'!$G$8:$G$220,MATCH(Check!X14,'IN1'!$C$8:$C$220,0))</f>
        <v>0</v>
      </c>
    </row>
    <row r="16" spans="1:37" ht="46.2" customHeight="1" x14ac:dyDescent="0.2">
      <c r="B16" s="360"/>
      <c r="C16" s="344"/>
      <c r="D16" s="347"/>
      <c r="E16" s="347"/>
      <c r="F16" s="5" t="s">
        <v>266</v>
      </c>
      <c r="G16" s="154" t="s">
        <v>267</v>
      </c>
      <c r="H16" s="4" t="b">
        <f>OR(K16&gt;=P16)</f>
        <v>0</v>
      </c>
      <c r="I16" s="12" t="str">
        <f>HLOOKUP(K16,M16:S17,2)</f>
        <v>G</v>
      </c>
      <c r="J16" s="76" t="s">
        <v>503</v>
      </c>
      <c r="K16" s="136">
        <f>W17</f>
        <v>0</v>
      </c>
      <c r="M16" s="84">
        <v>0</v>
      </c>
      <c r="N16" s="84">
        <v>0</v>
      </c>
      <c r="O16" s="84">
        <v>1</v>
      </c>
      <c r="P16" s="12">
        <v>2</v>
      </c>
      <c r="Q16" s="12">
        <v>6</v>
      </c>
      <c r="R16" s="12">
        <v>10</v>
      </c>
      <c r="S16" s="97">
        <v>14</v>
      </c>
      <c r="T16" s="128" t="s">
        <v>403</v>
      </c>
      <c r="U16" s="133" t="s">
        <v>532</v>
      </c>
      <c r="W16" s="93" t="s">
        <v>412</v>
      </c>
      <c r="X16" s="72" t="s">
        <v>414</v>
      </c>
      <c r="Y16" s="72" t="s">
        <v>415</v>
      </c>
      <c r="Z16" s="72" t="s">
        <v>394</v>
      </c>
      <c r="AA16" s="115" t="s">
        <v>42</v>
      </c>
      <c r="AB16" s="115" t="s">
        <v>43</v>
      </c>
    </row>
    <row r="17" spans="2:36" ht="13.8" thickBot="1" x14ac:dyDescent="0.25">
      <c r="B17" s="361"/>
      <c r="C17" s="345"/>
      <c r="D17" s="348"/>
      <c r="E17" s="348"/>
      <c r="F17" s="67"/>
      <c r="G17" s="68"/>
      <c r="H17" s="77"/>
      <c r="I17" s="78"/>
      <c r="J17" s="79"/>
      <c r="K17" s="137"/>
      <c r="M17" s="85" t="s">
        <v>307</v>
      </c>
      <c r="N17" s="85" t="s">
        <v>297</v>
      </c>
      <c r="O17" s="85" t="s">
        <v>239</v>
      </c>
      <c r="P17" s="71" t="s">
        <v>59</v>
      </c>
      <c r="Q17" s="71" t="s">
        <v>237</v>
      </c>
      <c r="R17" s="71" t="s">
        <v>236</v>
      </c>
      <c r="S17" s="108" t="s">
        <v>234</v>
      </c>
      <c r="T17" s="131"/>
      <c r="U17" s="12">
        <v>0</v>
      </c>
      <c r="W17" s="93">
        <f>SUM(X17:AB17)</f>
        <v>0</v>
      </c>
      <c r="X17" s="72">
        <f>INDEX('IN1'!$G$8:$G$220,MATCH(Check!X16,'IN1'!$C$8:$C$220,0))</f>
        <v>0</v>
      </c>
      <c r="Y17" s="72">
        <f>INDEX('IN1'!$G$8:$G$220,MATCH(Check!Y16,'IN1'!$C$8:$C$220,0))</f>
        <v>0</v>
      </c>
      <c r="Z17" s="72">
        <f>INDEX('IN1'!$G$8:$G$220,MATCH(Check!Z16,'IN1'!$C$8:$C$220,0))</f>
        <v>0</v>
      </c>
      <c r="AA17" s="72">
        <f>INDEX('IN1'!$G$8:$G$220,MATCH(Check!AA16,'IN1'!$C$8:$C$220,0))</f>
        <v>0</v>
      </c>
      <c r="AB17" s="72">
        <f>INDEX('IN1'!$G$8:$G$220,MATCH(Check!AB16,'IN1'!$C$8:$C$220,0))</f>
        <v>0</v>
      </c>
    </row>
    <row r="18" spans="2:36" ht="12.6" customHeight="1" thickBot="1" x14ac:dyDescent="0.25">
      <c r="J18"/>
      <c r="K18" s="138"/>
      <c r="T18" s="132"/>
      <c r="U18" s="134"/>
    </row>
    <row r="19" spans="2:36" s="49" customFormat="1" ht="50.4" customHeight="1" x14ac:dyDescent="0.2">
      <c r="B19" s="362" t="s">
        <v>494</v>
      </c>
      <c r="C19" s="343" t="b">
        <f>IF(D19&gt;=E19,TRUE,FALSE)</f>
        <v>0</v>
      </c>
      <c r="D19" s="346">
        <f>COUNTIF(H19:H32,TRUE)</f>
        <v>0</v>
      </c>
      <c r="E19" s="346">
        <v>6</v>
      </c>
      <c r="F19" s="221" t="s">
        <v>629</v>
      </c>
      <c r="G19" s="63" t="s">
        <v>322</v>
      </c>
      <c r="H19" s="118" t="b">
        <f>OR(K19&gt;=P19)</f>
        <v>0</v>
      </c>
      <c r="I19" s="65" t="str">
        <f>HLOOKUP(K19,M19:S20,2)</f>
        <v>H</v>
      </c>
      <c r="J19" s="119" t="s">
        <v>416</v>
      </c>
      <c r="K19" s="135">
        <f>W20</f>
        <v>0</v>
      </c>
      <c r="L19"/>
      <c r="M19" s="83">
        <v>0</v>
      </c>
      <c r="N19" s="83">
        <v>8</v>
      </c>
      <c r="O19" s="83">
        <v>12</v>
      </c>
      <c r="P19" s="65">
        <v>16</v>
      </c>
      <c r="Q19" s="65">
        <v>28</v>
      </c>
      <c r="R19" s="65">
        <v>40</v>
      </c>
      <c r="S19" s="109">
        <v>52</v>
      </c>
      <c r="T19" s="130" t="s">
        <v>403</v>
      </c>
      <c r="U19" s="133" t="s">
        <v>505</v>
      </c>
      <c r="V19"/>
      <c r="W19" s="93" t="s">
        <v>412</v>
      </c>
      <c r="X19" s="112" t="s">
        <v>417</v>
      </c>
      <c r="Y19" s="113" t="s">
        <v>418</v>
      </c>
      <c r="Z19" s="113" t="s">
        <v>419</v>
      </c>
      <c r="AA19" s="113" t="s">
        <v>420</v>
      </c>
      <c r="AB19" s="113" t="s">
        <v>421</v>
      </c>
      <c r="AC19" s="113" t="s">
        <v>422</v>
      </c>
      <c r="AD19" s="113" t="s">
        <v>423</v>
      </c>
      <c r="AE19" s="113" t="s">
        <v>424</v>
      </c>
      <c r="AF19" s="113" t="s">
        <v>425</v>
      </c>
      <c r="AG19" s="113" t="s">
        <v>426</v>
      </c>
      <c r="AH19" s="113" t="s">
        <v>427</v>
      </c>
      <c r="AI19" s="113" t="s">
        <v>428</v>
      </c>
    </row>
    <row r="20" spans="2:36" s="49" customFormat="1" x14ac:dyDescent="0.2">
      <c r="B20" s="363"/>
      <c r="C20" s="344"/>
      <c r="D20" s="347"/>
      <c r="E20" s="347"/>
      <c r="F20" s="222"/>
      <c r="G20" s="5"/>
      <c r="H20" s="4"/>
      <c r="I20" s="57"/>
      <c r="J20" s="92"/>
      <c r="K20" s="139"/>
      <c r="L20"/>
      <c r="M20" s="84" t="s">
        <v>307</v>
      </c>
      <c r="N20" s="84" t="s">
        <v>297</v>
      </c>
      <c r="O20" s="84" t="s">
        <v>239</v>
      </c>
      <c r="P20" s="27" t="s">
        <v>59</v>
      </c>
      <c r="Q20" s="27" t="s">
        <v>237</v>
      </c>
      <c r="R20" s="27" t="s">
        <v>236</v>
      </c>
      <c r="S20" s="96" t="s">
        <v>234</v>
      </c>
      <c r="T20" s="128"/>
      <c r="U20" s="12">
        <v>16</v>
      </c>
      <c r="V20"/>
      <c r="W20" s="93">
        <f>SUM(X20:AI20)</f>
        <v>0</v>
      </c>
      <c r="X20" s="72">
        <f>INDEX('IN1'!$G$8:$G$220,MATCH(Check!X19,'IN1'!$C$8:$C$220,0))</f>
        <v>0</v>
      </c>
      <c r="Y20" s="72">
        <f>INDEX('IN1'!$G$8:$G$220,MATCH(Check!Y19,'IN1'!$C$8:$C$220,0))</f>
        <v>0</v>
      </c>
      <c r="Z20" s="72">
        <f>INDEX('IN1'!$G$8:$G$220,MATCH(Check!Z19,'IN1'!$C$8:$C$220,0))</f>
        <v>0</v>
      </c>
      <c r="AA20" s="72">
        <f>INDEX('IN1'!$G$8:$G$220,MATCH(Check!AA19,'IN1'!$C$8:$C$220,0))</f>
        <v>0</v>
      </c>
      <c r="AB20" s="72">
        <f>INDEX('IN1'!$G$8:$G$220,MATCH(Check!AB19,'IN1'!$C$8:$C$220,0))</f>
        <v>0</v>
      </c>
      <c r="AC20" s="72">
        <f>INDEX('IN1'!$G$8:$G$220,MATCH(Check!AC19,'IN1'!$C$8:$C$220,0))</f>
        <v>0</v>
      </c>
      <c r="AD20" s="72">
        <f>INDEX('IN1'!$G$8:$G$220,MATCH(Check!AD19,'IN1'!$C$8:$C$220,0))</f>
        <v>0</v>
      </c>
      <c r="AE20" s="72">
        <f>INDEX('IN1'!$G$8:$G$220,MATCH(Check!AE19,'IN1'!$C$8:$C$220,0))</f>
        <v>0</v>
      </c>
      <c r="AF20" s="72">
        <f>INDEX('IN1'!$G$8:$G$220,MATCH(Check!AF19,'IN1'!$C$8:$C$220,0))</f>
        <v>0</v>
      </c>
      <c r="AG20" s="72">
        <f>INDEX('IN1'!$G$8:$G$220,MATCH(Check!AG19,'IN1'!$C$8:$C$220,0))</f>
        <v>0</v>
      </c>
      <c r="AH20" s="72">
        <f>INDEX('IN1'!$G$8:$G$220,MATCH(Check!AH19,'IN1'!$C$8:$C$220,0))</f>
        <v>0</v>
      </c>
      <c r="AI20" s="72">
        <f>INDEX('IN1'!$G$8:$G$220,MATCH(Check!AI19,'IN1'!$C$8:$C$220,0))</f>
        <v>0</v>
      </c>
    </row>
    <row r="21" spans="2:36" s="49" customFormat="1" ht="44.4" customHeight="1" x14ac:dyDescent="0.2">
      <c r="B21" s="363"/>
      <c r="C21" s="344"/>
      <c r="D21" s="347"/>
      <c r="E21" s="347"/>
      <c r="F21" s="222" t="s">
        <v>630</v>
      </c>
      <c r="G21" s="5" t="s">
        <v>323</v>
      </c>
      <c r="H21" s="4" t="b">
        <f>OR(K21&gt;=P21)</f>
        <v>0</v>
      </c>
      <c r="I21" s="12" t="str">
        <f>HLOOKUP(K21,M21:S22,2)</f>
        <v>H</v>
      </c>
      <c r="J21" s="92" t="s">
        <v>429</v>
      </c>
      <c r="K21" s="136">
        <f>W22</f>
        <v>0</v>
      </c>
      <c r="L21"/>
      <c r="M21" s="84">
        <v>0</v>
      </c>
      <c r="N21" s="84">
        <v>2</v>
      </c>
      <c r="O21" s="84">
        <v>4</v>
      </c>
      <c r="P21" s="12">
        <v>6</v>
      </c>
      <c r="Q21" s="12">
        <v>11</v>
      </c>
      <c r="R21" s="12">
        <v>16</v>
      </c>
      <c r="S21" s="97">
        <v>21</v>
      </c>
      <c r="T21" s="128" t="s">
        <v>403</v>
      </c>
      <c r="U21" s="133" t="s">
        <v>505</v>
      </c>
      <c r="V21"/>
      <c r="W21" s="93" t="s">
        <v>412</v>
      </c>
      <c r="X21" s="112" t="s">
        <v>436</v>
      </c>
      <c r="Y21" s="112" t="s">
        <v>430</v>
      </c>
      <c r="Z21" s="112" t="s">
        <v>437</v>
      </c>
      <c r="AA21" s="112" t="s">
        <v>438</v>
      </c>
      <c r="AB21" s="112" t="s">
        <v>439</v>
      </c>
      <c r="AC21" s="112" t="s">
        <v>440</v>
      </c>
      <c r="AD21" s="112" t="s">
        <v>447</v>
      </c>
      <c r="AE21"/>
      <c r="AF21"/>
      <c r="AG21"/>
      <c r="AH21"/>
      <c r="AI21"/>
      <c r="AJ21"/>
    </row>
    <row r="22" spans="2:36" s="49" customFormat="1" x14ac:dyDescent="0.2">
      <c r="B22" s="363"/>
      <c r="C22" s="344"/>
      <c r="D22" s="347"/>
      <c r="E22" s="347"/>
      <c r="F22" s="222"/>
      <c r="G22" s="5"/>
      <c r="H22" s="57"/>
      <c r="I22" s="57"/>
      <c r="J22" s="57"/>
      <c r="K22" s="139"/>
      <c r="L22"/>
      <c r="M22" s="84" t="s">
        <v>307</v>
      </c>
      <c r="N22" s="84" t="s">
        <v>297</v>
      </c>
      <c r="O22" s="84" t="s">
        <v>239</v>
      </c>
      <c r="P22" s="27" t="s">
        <v>59</v>
      </c>
      <c r="Q22" s="27" t="s">
        <v>237</v>
      </c>
      <c r="R22" s="27" t="s">
        <v>236</v>
      </c>
      <c r="S22" s="96" t="s">
        <v>234</v>
      </c>
      <c r="T22" s="128"/>
      <c r="U22" s="12">
        <v>6</v>
      </c>
      <c r="V22"/>
      <c r="W22" s="93">
        <f>SUM(X22:AD22)</f>
        <v>0</v>
      </c>
      <c r="X22" s="72">
        <f>INDEX('IN1'!$G$8:$G$220,MATCH(Check!X21,'IN1'!$C$8:$C$220,0))</f>
        <v>0</v>
      </c>
      <c r="Y22" s="72">
        <f>INDEX('IN1'!$G$8:$G$220,MATCH(Check!Y21,'IN1'!$C$8:$C$220,0))</f>
        <v>0</v>
      </c>
      <c r="Z22" s="72">
        <f>INDEX('IN1'!$G$8:$G$220,MATCH(Check!Z21,'IN1'!$C$8:$C$220,0))</f>
        <v>0</v>
      </c>
      <c r="AA22" s="72">
        <f>INDEX('IN1'!$G$8:$G$220,MATCH(Check!AA21,'IN1'!$C$8:$C$220,0))</f>
        <v>0</v>
      </c>
      <c r="AB22" s="72">
        <f>INDEX('IN1'!$G$8:$G$220,MATCH(Check!AB21,'IN1'!$C$8:$C$220,0))</f>
        <v>0</v>
      </c>
      <c r="AC22" s="72">
        <f>INDEX('IN1'!$G$8:$G$220,MATCH(Check!AC21,'IN1'!$C$8:$C$220,0))</f>
        <v>0</v>
      </c>
      <c r="AD22" s="72">
        <f>INDEX('IN1'!$G$8:$G$220,MATCH(Check!AD21,'IN1'!$C$8:$C$220,0))</f>
        <v>0</v>
      </c>
    </row>
    <row r="23" spans="2:36" s="49" customFormat="1" ht="35.4" customHeight="1" x14ac:dyDescent="0.2">
      <c r="B23" s="363"/>
      <c r="C23" s="344"/>
      <c r="D23" s="347"/>
      <c r="E23" s="347"/>
      <c r="F23" s="222" t="s">
        <v>313</v>
      </c>
      <c r="G23" s="5" t="s">
        <v>324</v>
      </c>
      <c r="H23" s="4" t="b">
        <f>OR(K23&gt;=P23)</f>
        <v>0</v>
      </c>
      <c r="I23" s="12" t="str">
        <f>HLOOKUP(K23,M23:S24,2)</f>
        <v>H</v>
      </c>
      <c r="J23" s="92" t="s">
        <v>504</v>
      </c>
      <c r="K23" s="136">
        <f>W24</f>
        <v>0</v>
      </c>
      <c r="L23"/>
      <c r="M23" s="84">
        <v>0</v>
      </c>
      <c r="N23" s="84">
        <v>2</v>
      </c>
      <c r="O23" s="84">
        <v>3</v>
      </c>
      <c r="P23" s="12">
        <v>4</v>
      </c>
      <c r="Q23" s="12">
        <v>7</v>
      </c>
      <c r="R23" s="12">
        <v>10</v>
      </c>
      <c r="S23" s="97">
        <v>13</v>
      </c>
      <c r="T23" s="128" t="s">
        <v>403</v>
      </c>
      <c r="U23" s="133" t="s">
        <v>505</v>
      </c>
      <c r="V23"/>
      <c r="W23" s="93" t="s">
        <v>412</v>
      </c>
      <c r="X23" s="112" t="s">
        <v>441</v>
      </c>
      <c r="Y23" s="112" t="s">
        <v>442</v>
      </c>
      <c r="Z23" s="112" t="s">
        <v>443</v>
      </c>
      <c r="AA23" s="112" t="s">
        <v>444</v>
      </c>
    </row>
    <row r="24" spans="2:36" s="49" customFormat="1" x14ac:dyDescent="0.2">
      <c r="B24" s="363"/>
      <c r="C24" s="344"/>
      <c r="D24" s="347"/>
      <c r="E24" s="347"/>
      <c r="F24" s="222"/>
      <c r="G24" s="5"/>
      <c r="H24" s="57"/>
      <c r="I24" s="57"/>
      <c r="J24" s="57"/>
      <c r="K24" s="136"/>
      <c r="L24"/>
      <c r="M24" s="84" t="s">
        <v>307</v>
      </c>
      <c r="N24" s="84" t="s">
        <v>297</v>
      </c>
      <c r="O24" s="84" t="s">
        <v>239</v>
      </c>
      <c r="P24" s="27" t="s">
        <v>59</v>
      </c>
      <c r="Q24" s="27" t="s">
        <v>237</v>
      </c>
      <c r="R24" s="27" t="s">
        <v>236</v>
      </c>
      <c r="S24" s="96" t="s">
        <v>234</v>
      </c>
      <c r="T24" s="128"/>
      <c r="U24" s="12">
        <v>4</v>
      </c>
      <c r="V24"/>
      <c r="W24" s="93">
        <f>SUM(X24:AA24)</f>
        <v>0</v>
      </c>
      <c r="X24" s="72">
        <f>INDEX('IN1'!$G$8:$G$220,MATCH(Check!X23,'IN1'!$C$8:$C$220,0))</f>
        <v>0</v>
      </c>
      <c r="Y24" s="72">
        <f>INDEX('IN1'!$G$8:$G$220,MATCH(Check!Y23,'IN1'!$C$8:$C$220,0))</f>
        <v>0</v>
      </c>
      <c r="Z24" s="72">
        <f>INDEX('IN1'!$G$8:$G$220,MATCH(Check!Z23,'IN1'!$C$8:$C$220,0))</f>
        <v>0</v>
      </c>
      <c r="AA24" s="72">
        <f>INDEX('IN1'!$G$8:$G$220,MATCH(Check!AA23,'IN1'!$C$8:$C$220,0))</f>
        <v>0</v>
      </c>
    </row>
    <row r="25" spans="2:36" s="49" customFormat="1" ht="29.4" customHeight="1" x14ac:dyDescent="0.2">
      <c r="B25" s="363"/>
      <c r="C25" s="344"/>
      <c r="D25" s="347"/>
      <c r="E25" s="347"/>
      <c r="F25" s="222" t="s">
        <v>314</v>
      </c>
      <c r="G25" s="5" t="s">
        <v>325</v>
      </c>
      <c r="H25" s="4" t="b">
        <f>OR(K25&gt;=P25)</f>
        <v>0</v>
      </c>
      <c r="I25" s="12" t="str">
        <f>HLOOKUP(K25,M25:S26,2)</f>
        <v>F</v>
      </c>
      <c r="J25" s="57" t="s">
        <v>315</v>
      </c>
      <c r="K25" s="136">
        <f>W26</f>
        <v>0</v>
      </c>
      <c r="L25"/>
      <c r="M25" s="84">
        <v>0</v>
      </c>
      <c r="N25" s="84">
        <v>0</v>
      </c>
      <c r="O25" s="84">
        <v>0</v>
      </c>
      <c r="P25" s="12">
        <v>2</v>
      </c>
      <c r="Q25" s="12">
        <v>4</v>
      </c>
      <c r="R25" s="12">
        <v>7</v>
      </c>
      <c r="S25" s="97">
        <v>10</v>
      </c>
      <c r="T25" s="128" t="s">
        <v>403</v>
      </c>
      <c r="U25" s="133" t="s">
        <v>505</v>
      </c>
      <c r="V25"/>
      <c r="W25" s="93" t="s">
        <v>412</v>
      </c>
      <c r="X25" s="112" t="s">
        <v>432</v>
      </c>
      <c r="Y25" s="112" t="s">
        <v>431</v>
      </c>
      <c r="Z25"/>
      <c r="AA25"/>
      <c r="AB25"/>
    </row>
    <row r="26" spans="2:36" x14ac:dyDescent="0.2">
      <c r="B26" s="363"/>
      <c r="C26" s="344"/>
      <c r="D26" s="347"/>
      <c r="E26" s="347"/>
      <c r="F26" s="222"/>
      <c r="G26" s="5"/>
      <c r="H26" s="5"/>
      <c r="I26" s="5"/>
      <c r="J26" s="72"/>
      <c r="K26" s="136"/>
      <c r="M26" s="84" t="s">
        <v>307</v>
      </c>
      <c r="N26" s="84" t="s">
        <v>297</v>
      </c>
      <c r="O26" s="84" t="s">
        <v>239</v>
      </c>
      <c r="P26" s="27" t="s">
        <v>59</v>
      </c>
      <c r="Q26" s="27" t="s">
        <v>237</v>
      </c>
      <c r="R26" s="27" t="s">
        <v>236</v>
      </c>
      <c r="S26" s="96" t="s">
        <v>234</v>
      </c>
      <c r="T26" s="128"/>
      <c r="U26" s="12">
        <v>2</v>
      </c>
      <c r="W26" s="93">
        <f>SUM(X26:Y26)</f>
        <v>0</v>
      </c>
      <c r="X26" s="72">
        <f>INDEX('IN1'!$G$8:$G$220,MATCH(Check!X25,'IN1'!$C$8:$C$220,0))</f>
        <v>0</v>
      </c>
      <c r="Y26" s="72">
        <f>INDEX('IN1'!$G$8:$G$220,MATCH(Check!Y25,'IN1'!$C$8:$C$220,0))</f>
        <v>0</v>
      </c>
    </row>
    <row r="27" spans="2:36" ht="36" x14ac:dyDescent="0.2">
      <c r="B27" s="363"/>
      <c r="C27" s="344"/>
      <c r="D27" s="347"/>
      <c r="E27" s="347"/>
      <c r="F27" s="222" t="s">
        <v>316</v>
      </c>
      <c r="G27" s="5" t="s">
        <v>326</v>
      </c>
      <c r="H27" s="4" t="b">
        <f>OR(K27&gt;=P27)</f>
        <v>0</v>
      </c>
      <c r="I27" s="12" t="str">
        <f>HLOOKUP(K27,M27:S28,2)</f>
        <v>G</v>
      </c>
      <c r="J27" s="92" t="s">
        <v>317</v>
      </c>
      <c r="K27" s="136">
        <f>W28</f>
        <v>0</v>
      </c>
      <c r="M27" s="84">
        <v>0</v>
      </c>
      <c r="N27" s="84">
        <v>0</v>
      </c>
      <c r="O27" s="84">
        <v>1</v>
      </c>
      <c r="P27" s="12">
        <v>2</v>
      </c>
      <c r="Q27" s="12">
        <v>8</v>
      </c>
      <c r="R27" s="12">
        <v>14</v>
      </c>
      <c r="S27" s="97">
        <v>20</v>
      </c>
      <c r="T27" s="128" t="s">
        <v>403</v>
      </c>
      <c r="U27" s="133" t="s">
        <v>505</v>
      </c>
      <c r="W27" s="93" t="s">
        <v>412</v>
      </c>
      <c r="X27" s="112" t="s">
        <v>445</v>
      </c>
      <c r="Y27" s="112" t="s">
        <v>446</v>
      </c>
      <c r="Z27" s="112" t="s">
        <v>433</v>
      </c>
      <c r="AA27" s="112" t="s">
        <v>435</v>
      </c>
      <c r="AB27" s="112" t="s">
        <v>434</v>
      </c>
    </row>
    <row r="28" spans="2:36" x14ac:dyDescent="0.2">
      <c r="B28" s="363"/>
      <c r="C28" s="344"/>
      <c r="D28" s="347"/>
      <c r="E28" s="347"/>
      <c r="F28" s="222"/>
      <c r="G28" s="5"/>
      <c r="H28" s="5"/>
      <c r="I28" s="5"/>
      <c r="J28" s="72"/>
      <c r="K28" s="136"/>
      <c r="M28" s="84" t="s">
        <v>307</v>
      </c>
      <c r="N28" s="84" t="s">
        <v>297</v>
      </c>
      <c r="O28" s="84" t="s">
        <v>239</v>
      </c>
      <c r="P28" s="27" t="s">
        <v>59</v>
      </c>
      <c r="Q28" s="27" t="s">
        <v>237</v>
      </c>
      <c r="R28" s="27" t="s">
        <v>236</v>
      </c>
      <c r="S28" s="96" t="s">
        <v>234</v>
      </c>
      <c r="T28" s="128"/>
      <c r="U28" s="12">
        <v>2</v>
      </c>
      <c r="W28" s="93">
        <f>SUM(X28:AB28)</f>
        <v>0</v>
      </c>
      <c r="X28" s="72">
        <f>INDEX('IN1'!$G$8:$G$220,MATCH(Check!X27,'IN1'!$C$8:$C$220,0))</f>
        <v>0</v>
      </c>
      <c r="Y28" s="72">
        <f>INDEX('IN1'!$G$8:$G$220,MATCH(Check!Y27,'IN1'!$C$8:$C$220,0))</f>
        <v>0</v>
      </c>
      <c r="Z28" s="72">
        <f>INDEX('IN1'!$G$8:$G$220,MATCH(Check!Z27,'IN1'!$C$8:$C$220,0))</f>
        <v>0</v>
      </c>
      <c r="AA28" s="72">
        <f>INDEX('IN1'!$G$8:$G$220,MATCH(Check!AA27,'IN1'!$C$8:$C$220,0))</f>
        <v>0</v>
      </c>
      <c r="AB28" s="72">
        <f>INDEX('IN1'!$G$8:$G$220,MATCH(Check!AB27,'IN1'!$C$8:$C$220,0))</f>
        <v>0</v>
      </c>
    </row>
    <row r="29" spans="2:36" ht="26.4" x14ac:dyDescent="0.2">
      <c r="B29" s="363"/>
      <c r="C29" s="344"/>
      <c r="D29" s="347"/>
      <c r="E29" s="347"/>
      <c r="F29" s="222" t="s">
        <v>318</v>
      </c>
      <c r="G29" s="5" t="s">
        <v>327</v>
      </c>
      <c r="H29" s="4" t="b">
        <f>OR(K29&gt;=P29)</f>
        <v>0</v>
      </c>
      <c r="I29" s="12" t="str">
        <f>HLOOKUP(K29,M29:S30,2)</f>
        <v>H</v>
      </c>
      <c r="J29" s="112" t="s">
        <v>319</v>
      </c>
      <c r="K29" s="136">
        <f>W30</f>
        <v>0</v>
      </c>
      <c r="M29" s="84">
        <v>0</v>
      </c>
      <c r="N29" s="84">
        <v>2</v>
      </c>
      <c r="O29" s="84">
        <v>8</v>
      </c>
      <c r="P29" s="12">
        <v>12</v>
      </c>
      <c r="Q29" s="12">
        <v>22</v>
      </c>
      <c r="R29" s="12">
        <v>32</v>
      </c>
      <c r="S29" s="97">
        <v>42</v>
      </c>
      <c r="T29" s="128" t="s">
        <v>403</v>
      </c>
      <c r="U29" s="133" t="s">
        <v>505</v>
      </c>
      <c r="W29" s="93" t="s">
        <v>412</v>
      </c>
      <c r="X29" s="72" t="s">
        <v>448</v>
      </c>
      <c r="Y29" s="72" t="s">
        <v>451</v>
      </c>
      <c r="Z29" s="72" t="s">
        <v>452</v>
      </c>
      <c r="AA29" s="72" t="s">
        <v>453</v>
      </c>
      <c r="AB29" s="72" t="s">
        <v>454</v>
      </c>
      <c r="AC29" s="72" t="s">
        <v>450</v>
      </c>
    </row>
    <row r="30" spans="2:36" x14ac:dyDescent="0.2">
      <c r="B30" s="363"/>
      <c r="C30" s="344"/>
      <c r="D30" s="347"/>
      <c r="E30" s="347"/>
      <c r="F30" s="222"/>
      <c r="G30" s="5"/>
      <c r="H30" s="5"/>
      <c r="I30" s="5"/>
      <c r="J30" s="72"/>
      <c r="K30" s="136"/>
      <c r="M30" s="84" t="s">
        <v>307</v>
      </c>
      <c r="N30" s="84" t="s">
        <v>297</v>
      </c>
      <c r="O30" s="84" t="s">
        <v>239</v>
      </c>
      <c r="P30" s="27" t="s">
        <v>59</v>
      </c>
      <c r="Q30" s="27" t="s">
        <v>237</v>
      </c>
      <c r="R30" s="27" t="s">
        <v>236</v>
      </c>
      <c r="S30" s="96" t="s">
        <v>234</v>
      </c>
      <c r="T30" s="128"/>
      <c r="U30" s="12">
        <v>12</v>
      </c>
      <c r="W30" s="93">
        <f>SUM(X30:AC30)</f>
        <v>0</v>
      </c>
      <c r="X30" s="101">
        <f>INDEX('IN1'!$G$8:$G$220,MATCH(Check!X29,'IN1'!$C$8:$C$220,0))</f>
        <v>0</v>
      </c>
      <c r="Y30" s="101">
        <f>INDEX('IN1'!$G$8:$G$220,MATCH(Check!Y29,'IN1'!$C$8:$C$220,0))</f>
        <v>0</v>
      </c>
      <c r="Z30" s="101">
        <f>INDEX('IN1'!$G$8:$G$220,MATCH(Check!Z29,'IN1'!$C$8:$C$220,0))</f>
        <v>0</v>
      </c>
      <c r="AA30" s="101">
        <f>INDEX('IN1'!$G$8:$G$220,MATCH(Check!AA29,'IN1'!$C$8:$C$220,0))</f>
        <v>0</v>
      </c>
      <c r="AB30" s="101">
        <f>INDEX('IN1'!$G$8:$G$220,MATCH(Check!AB29,'IN1'!$C$8:$C$220,0))</f>
        <v>0</v>
      </c>
      <c r="AC30" s="101">
        <f>INDEX('IN1'!$G$8:$G$220,MATCH(Check!AC29,'IN1'!$C$8:$C$220,0))</f>
        <v>0</v>
      </c>
    </row>
    <row r="31" spans="2:36" ht="30.6" customHeight="1" x14ac:dyDescent="0.2">
      <c r="B31" s="363"/>
      <c r="C31" s="344"/>
      <c r="D31" s="347"/>
      <c r="E31" s="347"/>
      <c r="F31" s="222" t="s">
        <v>631</v>
      </c>
      <c r="G31" s="5" t="s">
        <v>320</v>
      </c>
      <c r="H31" s="4" t="b">
        <f>OR(K31&gt;=P31)</f>
        <v>0</v>
      </c>
      <c r="I31" s="12" t="str">
        <f>HLOOKUP(K31,M31:S32,2)</f>
        <v>H</v>
      </c>
      <c r="J31" s="72" t="s">
        <v>321</v>
      </c>
      <c r="K31" s="136">
        <f>W32</f>
        <v>0</v>
      </c>
      <c r="M31" s="5">
        <v>0</v>
      </c>
      <c r="N31" s="5">
        <v>1</v>
      </c>
      <c r="O31" s="5">
        <v>2</v>
      </c>
      <c r="P31" s="5">
        <v>3</v>
      </c>
      <c r="Q31" s="5">
        <v>5</v>
      </c>
      <c r="R31" s="5">
        <v>8</v>
      </c>
      <c r="S31" s="110">
        <v>12</v>
      </c>
      <c r="T31" s="128" t="s">
        <v>403</v>
      </c>
      <c r="U31" s="133" t="s">
        <v>532</v>
      </c>
      <c r="W31" s="93" t="s">
        <v>412</v>
      </c>
      <c r="X31" s="72" t="s">
        <v>455</v>
      </c>
      <c r="Y31" s="72" t="s">
        <v>461</v>
      </c>
      <c r="Z31" s="5" t="s">
        <v>456</v>
      </c>
      <c r="AA31" s="5" t="s">
        <v>460</v>
      </c>
      <c r="AB31" s="5" t="s">
        <v>457</v>
      </c>
      <c r="AC31" s="5" t="s">
        <v>458</v>
      </c>
      <c r="AD31" s="5" t="s">
        <v>459</v>
      </c>
    </row>
    <row r="32" spans="2:36" ht="13.8" thickBot="1" x14ac:dyDescent="0.25">
      <c r="B32" s="364"/>
      <c r="C32" s="345"/>
      <c r="D32" s="348"/>
      <c r="E32" s="348"/>
      <c r="F32" s="67"/>
      <c r="G32" s="67"/>
      <c r="H32" s="67"/>
      <c r="I32" s="67"/>
      <c r="J32" s="120"/>
      <c r="K32" s="137"/>
      <c r="M32" s="85" t="s">
        <v>307</v>
      </c>
      <c r="N32" s="85" t="s">
        <v>297</v>
      </c>
      <c r="O32" s="85" t="s">
        <v>239</v>
      </c>
      <c r="P32" s="71" t="s">
        <v>59</v>
      </c>
      <c r="Q32" s="71" t="s">
        <v>237</v>
      </c>
      <c r="R32" s="71" t="s">
        <v>236</v>
      </c>
      <c r="S32" s="108" t="s">
        <v>234</v>
      </c>
      <c r="T32" s="131"/>
      <c r="U32" s="12">
        <v>0</v>
      </c>
      <c r="W32" s="93">
        <f>SUM(X32:AD32)</f>
        <v>0</v>
      </c>
      <c r="X32" s="72">
        <f>INDEX('IN1'!$G$8:$G$220,MATCH(Check!X31,'IN1'!$C$8:$C$220,0))</f>
        <v>0</v>
      </c>
      <c r="Y32" s="72">
        <f>INDEX('IN1'!$G$8:$G$220,MATCH(Check!Y31,'IN1'!$C$8:$C$220,0))</f>
        <v>0</v>
      </c>
      <c r="Z32" s="72">
        <f>INDEX('IN1'!$G$8:$G$220,MATCH(Check!Z31,'IN1'!$C$8:$C$220,0))</f>
        <v>0</v>
      </c>
      <c r="AA32" s="72">
        <f>INDEX('IN1'!$G$8:$G$220,MATCH(Check!AA31,'IN1'!$C$8:$C$220,0))</f>
        <v>0</v>
      </c>
      <c r="AB32" s="72">
        <f>INDEX('IN1'!$G$8:$G$220,MATCH(Check!AB31,'IN1'!$C$8:$C$220,0))</f>
        <v>0</v>
      </c>
      <c r="AC32" s="72">
        <f>INDEX('IN1'!$G$8:$G$220,MATCH(Check!AC31,'IN1'!$C$8:$C$220,0))</f>
        <v>0</v>
      </c>
      <c r="AD32" s="72">
        <f>INDEX('IN1'!$G$8:$G$220,MATCH(Check!AD31,'IN1'!$C$8:$C$220,0))</f>
        <v>0</v>
      </c>
    </row>
    <row r="33" spans="2:33" ht="13.8" thickBot="1" x14ac:dyDescent="0.25">
      <c r="K33" s="138"/>
      <c r="T33" s="132"/>
      <c r="U33" s="134"/>
    </row>
    <row r="34" spans="2:33" ht="51" customHeight="1" x14ac:dyDescent="0.2">
      <c r="B34" s="359" t="s">
        <v>328</v>
      </c>
      <c r="C34" s="343" t="b">
        <f>IF(D34&gt;=E34,TRUE,FALSE)</f>
        <v>0</v>
      </c>
      <c r="D34" s="346">
        <f>COUNTIF(H34:H47,TRUE)</f>
        <v>0</v>
      </c>
      <c r="E34" s="346">
        <v>7</v>
      </c>
      <c r="F34" s="63" t="s">
        <v>329</v>
      </c>
      <c r="G34" s="63" t="s">
        <v>330</v>
      </c>
      <c r="H34" s="118" t="b">
        <f>OR(K34&gt;=P34)</f>
        <v>0</v>
      </c>
      <c r="I34" s="65" t="str">
        <f>HLOOKUP(K34,M34:S35,2)</f>
        <v>H</v>
      </c>
      <c r="J34" s="121" t="s">
        <v>331</v>
      </c>
      <c r="K34" s="135">
        <f>W35</f>
        <v>0</v>
      </c>
      <c r="M34" s="83">
        <v>0</v>
      </c>
      <c r="N34" s="83">
        <v>2</v>
      </c>
      <c r="O34" s="83">
        <v>3</v>
      </c>
      <c r="P34" s="65">
        <v>4</v>
      </c>
      <c r="Q34" s="65">
        <v>12</v>
      </c>
      <c r="R34" s="65">
        <v>20</v>
      </c>
      <c r="S34" s="109">
        <v>28</v>
      </c>
      <c r="T34" s="130" t="s">
        <v>403</v>
      </c>
      <c r="U34" s="133" t="s">
        <v>505</v>
      </c>
      <c r="W34" s="93" t="s">
        <v>412</v>
      </c>
      <c r="X34" s="72" t="s">
        <v>462</v>
      </c>
      <c r="Y34" s="72" t="s">
        <v>463</v>
      </c>
      <c r="Z34" s="72" t="s">
        <v>464</v>
      </c>
      <c r="AA34" s="72" t="s">
        <v>465</v>
      </c>
    </row>
    <row r="35" spans="2:33" x14ac:dyDescent="0.2">
      <c r="B35" s="360"/>
      <c r="C35" s="344"/>
      <c r="D35" s="347"/>
      <c r="E35" s="347"/>
      <c r="F35" s="5"/>
      <c r="G35" s="5"/>
      <c r="H35" s="5"/>
      <c r="I35" s="5"/>
      <c r="J35" s="5"/>
      <c r="K35" s="139"/>
      <c r="M35" s="84" t="s">
        <v>307</v>
      </c>
      <c r="N35" s="84" t="s">
        <v>297</v>
      </c>
      <c r="O35" s="84" t="s">
        <v>239</v>
      </c>
      <c r="P35" s="27" t="s">
        <v>59</v>
      </c>
      <c r="Q35" s="27" t="s">
        <v>237</v>
      </c>
      <c r="R35" s="27" t="s">
        <v>236</v>
      </c>
      <c r="S35" s="96" t="s">
        <v>234</v>
      </c>
      <c r="T35" s="128"/>
      <c r="U35" s="12">
        <v>4</v>
      </c>
      <c r="W35" s="93">
        <f>SUM(X35:AA35)</f>
        <v>0</v>
      </c>
      <c r="X35" s="101">
        <f>INDEX('IN1'!$G$8:$G$220,MATCH(Check!X34,'IN1'!$C$8:$C$220,0))</f>
        <v>0</v>
      </c>
      <c r="Y35" s="101">
        <f>INDEX('IN1'!$G$8:$G$220,MATCH(Check!Y34,'IN1'!$C$8:$C$220,0))</f>
        <v>0</v>
      </c>
      <c r="Z35" s="101">
        <f>INDEX('IN1'!$G$8:$G$220,MATCH(Check!Z34,'IN1'!$C$8:$C$220,0))</f>
        <v>0</v>
      </c>
      <c r="AA35" s="101">
        <f>INDEX('IN1'!$G$8:$G$220,MATCH(Check!AA34,'IN1'!$C$8:$C$220,0))</f>
        <v>0</v>
      </c>
    </row>
    <row r="36" spans="2:33" ht="61.2" customHeight="1" x14ac:dyDescent="0.2">
      <c r="B36" s="360"/>
      <c r="C36" s="344"/>
      <c r="D36" s="347"/>
      <c r="E36" s="347"/>
      <c r="F36" s="5" t="s">
        <v>529</v>
      </c>
      <c r="G36" s="5" t="s">
        <v>332</v>
      </c>
      <c r="H36" s="4" t="b">
        <f>OR(K36&gt;=P36)</f>
        <v>0</v>
      </c>
      <c r="I36" s="12" t="str">
        <f>HLOOKUP(K36,M36:S37,2)</f>
        <v>H</v>
      </c>
      <c r="J36" s="72" t="s">
        <v>338</v>
      </c>
      <c r="K36" s="136">
        <f>W37</f>
        <v>0</v>
      </c>
      <c r="M36" s="84">
        <v>0</v>
      </c>
      <c r="N36" s="84">
        <v>2</v>
      </c>
      <c r="O36" s="84">
        <v>3</v>
      </c>
      <c r="P36" s="12">
        <v>4</v>
      </c>
      <c r="Q36" s="12">
        <v>14</v>
      </c>
      <c r="R36" s="12">
        <v>24</v>
      </c>
      <c r="S36" s="97">
        <v>34</v>
      </c>
      <c r="T36" s="128" t="s">
        <v>403</v>
      </c>
      <c r="U36" s="133" t="s">
        <v>505</v>
      </c>
      <c r="W36" s="93" t="s">
        <v>412</v>
      </c>
      <c r="X36" s="72" t="s">
        <v>466</v>
      </c>
      <c r="Y36" s="72" t="s">
        <v>467</v>
      </c>
      <c r="Z36" s="72" t="s">
        <v>468</v>
      </c>
      <c r="AA36" s="72" t="s">
        <v>469</v>
      </c>
      <c r="AB36" s="72" t="s">
        <v>470</v>
      </c>
      <c r="AC36" s="72" t="s">
        <v>471</v>
      </c>
      <c r="AD36" s="72" t="s">
        <v>471</v>
      </c>
    </row>
    <row r="37" spans="2:33" x14ac:dyDescent="0.2">
      <c r="B37" s="360"/>
      <c r="C37" s="344"/>
      <c r="D37" s="347"/>
      <c r="E37" s="347"/>
      <c r="F37" s="5"/>
      <c r="G37" s="5"/>
      <c r="H37" s="5"/>
      <c r="I37" s="5"/>
      <c r="J37" s="5"/>
      <c r="K37" s="139"/>
      <c r="M37" s="84" t="s">
        <v>307</v>
      </c>
      <c r="N37" s="84" t="s">
        <v>297</v>
      </c>
      <c r="O37" s="84" t="s">
        <v>239</v>
      </c>
      <c r="P37" s="27" t="s">
        <v>59</v>
      </c>
      <c r="Q37" s="27" t="s">
        <v>237</v>
      </c>
      <c r="R37" s="27" t="s">
        <v>236</v>
      </c>
      <c r="S37" s="96" t="s">
        <v>234</v>
      </c>
      <c r="T37" s="128"/>
      <c r="U37" s="12">
        <v>4</v>
      </c>
      <c r="W37" s="93">
        <f>SUM(X37:AD37)</f>
        <v>0</v>
      </c>
      <c r="X37" s="101">
        <f>INDEX('IN1'!$G$8:$G$220,MATCH(Check!X36,'IN1'!$C$8:$C$220,0))</f>
        <v>0</v>
      </c>
      <c r="Y37" s="101">
        <f>INDEX('IN1'!$G$8:$G$220,MATCH(Check!Y36,'IN1'!$C$8:$C$220,0))</f>
        <v>0</v>
      </c>
      <c r="Z37" s="101">
        <f>INDEX('IN1'!$G$8:$G$220,MATCH(Check!Z36,'IN1'!$C$8:$C$220,0))</f>
        <v>0</v>
      </c>
      <c r="AA37" s="101">
        <f>INDEX('IN1'!$G$8:$G$220,MATCH(Check!AA36,'IN1'!$C$8:$C$220,0))</f>
        <v>0</v>
      </c>
      <c r="AB37" s="101">
        <f>INDEX('IN1'!$G$8:$G$220,MATCH(Check!AB36,'IN1'!$C$8:$C$220,0))</f>
        <v>0</v>
      </c>
      <c r="AC37" s="101">
        <f>INDEX('IN1'!$G$8:$G$220,MATCH(Check!AC36,'IN1'!$C$8:$C$220,0))</f>
        <v>0</v>
      </c>
      <c r="AD37" s="101">
        <f>INDEX('IN1'!$G$8:$G$220,MATCH(Check!AD36,'IN1'!$C$8:$C$220,0))</f>
        <v>0</v>
      </c>
    </row>
    <row r="38" spans="2:33" ht="73.2" customHeight="1" x14ac:dyDescent="0.2">
      <c r="B38" s="360"/>
      <c r="C38" s="344"/>
      <c r="D38" s="347"/>
      <c r="E38" s="347"/>
      <c r="F38" s="5" t="s">
        <v>530</v>
      </c>
      <c r="G38" s="72" t="s">
        <v>333</v>
      </c>
      <c r="H38" s="4" t="b">
        <f>OR(K38&gt;=P38)</f>
        <v>0</v>
      </c>
      <c r="I38" s="12" t="str">
        <f>HLOOKUP(K38,M38:S39,2)</f>
        <v>H</v>
      </c>
      <c r="J38" s="72" t="s">
        <v>482</v>
      </c>
      <c r="K38" s="136">
        <f>W39</f>
        <v>0</v>
      </c>
      <c r="M38" s="84">
        <v>0</v>
      </c>
      <c r="N38" s="84">
        <v>2</v>
      </c>
      <c r="O38" s="84">
        <v>3</v>
      </c>
      <c r="P38" s="12">
        <v>4</v>
      </c>
      <c r="Q38" s="12">
        <v>18</v>
      </c>
      <c r="R38" s="12">
        <v>32</v>
      </c>
      <c r="S38" s="97">
        <v>46</v>
      </c>
      <c r="T38" s="128" t="s">
        <v>403</v>
      </c>
      <c r="U38" s="133" t="s">
        <v>505</v>
      </c>
      <c r="W38" s="93" t="s">
        <v>412</v>
      </c>
      <c r="X38" s="72" t="s">
        <v>472</v>
      </c>
      <c r="Y38" s="72" t="s">
        <v>473</v>
      </c>
      <c r="Z38" s="72" t="s">
        <v>474</v>
      </c>
      <c r="AA38" s="72" t="s">
        <v>481</v>
      </c>
      <c r="AB38" s="72" t="s">
        <v>475</v>
      </c>
      <c r="AC38" s="72" t="s">
        <v>476</v>
      </c>
      <c r="AD38" s="72" t="s">
        <v>477</v>
      </c>
      <c r="AE38" s="72" t="s">
        <v>478</v>
      </c>
      <c r="AF38" s="72" t="s">
        <v>480</v>
      </c>
      <c r="AG38" s="72" t="s">
        <v>479</v>
      </c>
    </row>
    <row r="39" spans="2:33" x14ac:dyDescent="0.2">
      <c r="B39" s="360"/>
      <c r="C39" s="344"/>
      <c r="D39" s="347"/>
      <c r="E39" s="347"/>
      <c r="F39" s="5"/>
      <c r="G39" s="5"/>
      <c r="H39" s="5"/>
      <c r="I39" s="5"/>
      <c r="J39" s="5"/>
      <c r="K39" s="139"/>
      <c r="M39" s="84" t="s">
        <v>307</v>
      </c>
      <c r="N39" s="84" t="s">
        <v>297</v>
      </c>
      <c r="O39" s="84" t="s">
        <v>239</v>
      </c>
      <c r="P39" s="27" t="s">
        <v>59</v>
      </c>
      <c r="Q39" s="27" t="s">
        <v>237</v>
      </c>
      <c r="R39" s="27" t="s">
        <v>236</v>
      </c>
      <c r="S39" s="96" t="s">
        <v>234</v>
      </c>
      <c r="T39" s="128"/>
      <c r="U39" s="12">
        <v>4</v>
      </c>
      <c r="W39" s="93">
        <f>SUM(X39:AG39)</f>
        <v>0</v>
      </c>
      <c r="X39" s="72">
        <f>INDEX('IN1'!$G$8:$G$220,MATCH(Check!X38,'IN1'!$C$8:$C$220,0))</f>
        <v>0</v>
      </c>
      <c r="Y39" s="72">
        <f>INDEX('IN1'!$G$8:$G$220,MATCH(Check!Y38,'IN1'!$C$8:$C$220,0))</f>
        <v>0</v>
      </c>
      <c r="Z39" s="72">
        <f>INDEX('IN1'!$G$8:$G$220,MATCH(Check!Z38,'IN1'!$C$8:$C$220,0))</f>
        <v>0</v>
      </c>
      <c r="AA39" s="72">
        <f>INDEX('IN1'!$G$8:$G$220,MATCH(Check!AA38,'IN1'!$C$8:$C$220,0))</f>
        <v>0</v>
      </c>
      <c r="AB39" s="72">
        <f>INDEX('IN1'!$G$8:$G$220,MATCH(Check!AB38,'IN1'!$C$8:$C$220,0))</f>
        <v>0</v>
      </c>
      <c r="AC39" s="72">
        <f>INDEX('IN1'!$G$8:$G$220,MATCH(Check!AC38,'IN1'!$C$8:$C$220,0))</f>
        <v>0</v>
      </c>
      <c r="AD39" s="72">
        <f>INDEX('IN1'!$G$8:$G$220,MATCH(Check!AD38,'IN1'!$C$8:$C$220,0))</f>
        <v>0</v>
      </c>
      <c r="AE39" s="72">
        <f>INDEX('IN1'!$G$8:$G$220,MATCH(Check!AE38,'IN1'!$C$8:$C$220,0))</f>
        <v>0</v>
      </c>
      <c r="AF39" s="72">
        <f>INDEX('IN1'!$G$8:$G$220,MATCH(Check!AF38,'IN1'!$C$8:$C$220,0))</f>
        <v>0</v>
      </c>
      <c r="AG39" s="72">
        <f>INDEX('IN1'!$G$8:$G$220,MATCH(Check!AG38,'IN1'!$C$8:$C$220,0))</f>
        <v>0</v>
      </c>
    </row>
    <row r="40" spans="2:33" ht="73.2" customHeight="1" x14ac:dyDescent="0.2">
      <c r="B40" s="360"/>
      <c r="C40" s="344"/>
      <c r="D40" s="347"/>
      <c r="E40" s="347"/>
      <c r="F40" s="5" t="s">
        <v>533</v>
      </c>
      <c r="G40" s="5" t="s">
        <v>340</v>
      </c>
      <c r="H40" s="4" t="b">
        <f>OR(K40&gt;=P40)</f>
        <v>0</v>
      </c>
      <c r="I40" s="12" t="str">
        <f>HLOOKUP(K40,M40:S41,2)</f>
        <v>H</v>
      </c>
      <c r="J40" s="72" t="s">
        <v>341</v>
      </c>
      <c r="K40" s="136">
        <f>W41</f>
        <v>0</v>
      </c>
      <c r="M40" s="84">
        <v>0</v>
      </c>
      <c r="N40" s="84">
        <v>4</v>
      </c>
      <c r="O40" s="84">
        <v>9</v>
      </c>
      <c r="P40" s="12">
        <v>14</v>
      </c>
      <c r="Q40" s="12">
        <v>26</v>
      </c>
      <c r="R40" s="12">
        <v>38</v>
      </c>
      <c r="S40" s="97">
        <v>50</v>
      </c>
      <c r="T40" s="128" t="s">
        <v>403</v>
      </c>
      <c r="U40" s="133" t="s">
        <v>505</v>
      </c>
      <c r="W40" s="114" t="s">
        <v>412</v>
      </c>
      <c r="X40" s="72" t="s">
        <v>406</v>
      </c>
      <c r="Y40" s="72" t="s">
        <v>483</v>
      </c>
      <c r="Z40" s="72" t="s">
        <v>484</v>
      </c>
      <c r="AA40" s="72" t="s">
        <v>489</v>
      </c>
      <c r="AB40" s="72" t="s">
        <v>485</v>
      </c>
      <c r="AC40" s="72" t="s">
        <v>486</v>
      </c>
      <c r="AD40" s="72" t="s">
        <v>487</v>
      </c>
      <c r="AE40" s="72" t="s">
        <v>488</v>
      </c>
      <c r="AF40" s="72" t="s">
        <v>449</v>
      </c>
      <c r="AG40" s="54"/>
    </row>
    <row r="41" spans="2:33" x14ac:dyDescent="0.2">
      <c r="B41" s="360"/>
      <c r="C41" s="344"/>
      <c r="D41" s="347"/>
      <c r="E41" s="347"/>
      <c r="F41" s="5"/>
      <c r="G41" s="5"/>
      <c r="H41" s="5"/>
      <c r="I41" s="5"/>
      <c r="J41" s="5"/>
      <c r="K41" s="139"/>
      <c r="M41" s="84" t="s">
        <v>307</v>
      </c>
      <c r="N41" s="84" t="s">
        <v>297</v>
      </c>
      <c r="O41" s="84" t="s">
        <v>239</v>
      </c>
      <c r="P41" s="27" t="s">
        <v>59</v>
      </c>
      <c r="Q41" s="27" t="s">
        <v>237</v>
      </c>
      <c r="R41" s="27" t="s">
        <v>236</v>
      </c>
      <c r="S41" s="96" t="s">
        <v>234</v>
      </c>
      <c r="T41" s="128"/>
      <c r="U41" s="12">
        <v>14</v>
      </c>
      <c r="W41" s="93">
        <f>SUM(X41:AF41)</f>
        <v>0</v>
      </c>
      <c r="X41" s="72">
        <f>INDEX('IN1'!$G$8:$G$220,MATCH(Check!X40,'IN1'!$C$8:$C$220,0))</f>
        <v>0</v>
      </c>
      <c r="Y41" s="72">
        <f>INDEX('IN1'!$G$8:$G$220,MATCH(Check!Y40,'IN1'!$C$8:$C$220,0))</f>
        <v>0</v>
      </c>
      <c r="Z41" s="72">
        <f>INDEX('IN1'!$G$8:$G$220,MATCH(Check!Z40,'IN1'!$C$8:$C$220,0))</f>
        <v>0</v>
      </c>
      <c r="AA41" s="72">
        <f>INDEX('IN1'!$G$8:$G$220,MATCH(Check!AA40,'IN1'!$C$8:$C$220,0))</f>
        <v>0</v>
      </c>
      <c r="AB41" s="72">
        <f>INDEX('IN1'!$G$8:$G$220,MATCH(Check!AB40,'IN1'!$C$8:$C$220,0))</f>
        <v>0</v>
      </c>
      <c r="AC41" s="72">
        <f>INDEX('IN1'!$G$8:$G$220,MATCH(Check!AC40,'IN1'!$C$8:$C$220,0))</f>
        <v>0</v>
      </c>
      <c r="AD41" s="72">
        <f>INDEX('IN1'!$G$8:$G$220,MATCH(Check!AD40,'IN1'!$C$8:$C$220,0))</f>
        <v>0</v>
      </c>
      <c r="AE41" s="72">
        <f>INDEX('IN1'!$G$8:$G$220,MATCH(Check!AE40,'IN1'!$C$8:$C$220,0))</f>
        <v>0</v>
      </c>
      <c r="AF41" s="72">
        <f>INDEX('IN1'!$G$8:$G$220,MATCH(Check!AF40,'IN1'!$C$8:$C$220,0))</f>
        <v>0</v>
      </c>
    </row>
    <row r="42" spans="2:33" ht="61.8" customHeight="1" x14ac:dyDescent="0.2">
      <c r="B42" s="360"/>
      <c r="C42" s="344"/>
      <c r="D42" s="347"/>
      <c r="E42" s="347"/>
      <c r="F42" s="5" t="s">
        <v>531</v>
      </c>
      <c r="G42" s="5" t="s">
        <v>339</v>
      </c>
      <c r="H42" s="4" t="b">
        <f>OR(K42&gt;=P42)</f>
        <v>0</v>
      </c>
      <c r="I42" s="12" t="str">
        <f>HLOOKUP(K42,M42:S43,2)</f>
        <v>F</v>
      </c>
      <c r="J42" s="72" t="s">
        <v>405</v>
      </c>
      <c r="K42" s="139">
        <f>W43</f>
        <v>0</v>
      </c>
      <c r="M42" s="84">
        <v>0</v>
      </c>
      <c r="N42" s="84">
        <v>0</v>
      </c>
      <c r="O42" s="84">
        <v>0</v>
      </c>
      <c r="P42" s="12">
        <v>2</v>
      </c>
      <c r="Q42" s="12">
        <v>12</v>
      </c>
      <c r="R42" s="12">
        <v>22</v>
      </c>
      <c r="S42" s="97">
        <v>32</v>
      </c>
      <c r="T42" s="128" t="s">
        <v>403</v>
      </c>
      <c r="U42" s="133" t="s">
        <v>505</v>
      </c>
      <c r="W42" s="93" t="s">
        <v>412</v>
      </c>
      <c r="X42" s="72" t="s">
        <v>406</v>
      </c>
      <c r="Y42" s="72" t="s">
        <v>407</v>
      </c>
      <c r="Z42" s="72" t="s">
        <v>408</v>
      </c>
      <c r="AA42" s="72" t="s">
        <v>409</v>
      </c>
      <c r="AB42" s="72" t="s">
        <v>410</v>
      </c>
      <c r="AC42" s="72" t="s">
        <v>411</v>
      </c>
    </row>
    <row r="43" spans="2:33" x14ac:dyDescent="0.2">
      <c r="B43" s="360"/>
      <c r="C43" s="344"/>
      <c r="D43" s="347"/>
      <c r="E43" s="347"/>
      <c r="F43" s="5"/>
      <c r="G43" s="5"/>
      <c r="H43" s="5"/>
      <c r="I43" s="5"/>
      <c r="J43" s="72"/>
      <c r="K43" s="139"/>
      <c r="M43" s="84" t="s">
        <v>307</v>
      </c>
      <c r="N43" s="84" t="s">
        <v>297</v>
      </c>
      <c r="O43" s="84" t="s">
        <v>239</v>
      </c>
      <c r="P43" s="27" t="s">
        <v>59</v>
      </c>
      <c r="Q43" s="27" t="s">
        <v>237</v>
      </c>
      <c r="R43" s="27" t="s">
        <v>236</v>
      </c>
      <c r="S43" s="96" t="s">
        <v>234</v>
      </c>
      <c r="T43" s="128"/>
      <c r="U43" s="12">
        <v>2</v>
      </c>
      <c r="W43" s="93">
        <f>SUM(X43:AC43)</f>
        <v>0</v>
      </c>
      <c r="X43" s="72">
        <f>INDEX('IN1'!$G$8:$G$220,MATCH(Check!X42,'IN1'!$C$8:$C$220,0))</f>
        <v>0</v>
      </c>
      <c r="Y43" s="72">
        <f>INDEX('IN1'!$G$8:$G$220,MATCH(Check!Y42,'IN1'!$C$8:$C$220,0))</f>
        <v>0</v>
      </c>
      <c r="Z43" s="72">
        <f>INDEX('IN1'!$G$8:$G$220,MATCH(Check!Z42,'IN1'!$C$8:$C$220,0))</f>
        <v>0</v>
      </c>
      <c r="AA43" s="72">
        <f>INDEX('IN1'!$G$8:$G$220,MATCH(Check!AA42,'IN1'!$C$8:$C$220,0))</f>
        <v>0</v>
      </c>
      <c r="AB43" s="72">
        <f>INDEX('IN1'!$G$8:$G$220,MATCH(Check!AB42,'IN1'!$C$8:$C$220,0))</f>
        <v>0</v>
      </c>
      <c r="AC43" s="72">
        <f>INDEX('IN1'!$G$8:$G$220,MATCH(Check!AC42,'IN1'!$C$8:$C$220,0))</f>
        <v>0</v>
      </c>
    </row>
    <row r="44" spans="2:33" ht="64.8" customHeight="1" x14ac:dyDescent="0.2">
      <c r="B44" s="360"/>
      <c r="C44" s="344"/>
      <c r="D44" s="347"/>
      <c r="E44" s="347"/>
      <c r="F44" s="5" t="s">
        <v>334</v>
      </c>
      <c r="G44" s="5" t="s">
        <v>335</v>
      </c>
      <c r="H44" s="4" t="b">
        <f>OR(K44&gt;=P44)</f>
        <v>0</v>
      </c>
      <c r="I44" s="12" t="str">
        <f>HLOOKUP(K44,M44:S45,2)</f>
        <v>F</v>
      </c>
      <c r="J44" s="72" t="s">
        <v>336</v>
      </c>
      <c r="K44" s="136">
        <f>W45</f>
        <v>0</v>
      </c>
      <c r="M44" s="84">
        <v>0</v>
      </c>
      <c r="N44" s="84">
        <v>0</v>
      </c>
      <c r="O44" s="84">
        <v>0</v>
      </c>
      <c r="P44" s="12">
        <v>2</v>
      </c>
      <c r="Q44" s="12">
        <v>12</v>
      </c>
      <c r="R44" s="12">
        <v>22</v>
      </c>
      <c r="S44" s="97">
        <v>32</v>
      </c>
      <c r="T44" s="128" t="s">
        <v>403</v>
      </c>
      <c r="U44" s="133" t="s">
        <v>505</v>
      </c>
      <c r="W44" s="93" t="s">
        <v>412</v>
      </c>
      <c r="X44" s="72" t="s">
        <v>258</v>
      </c>
      <c r="Y44" s="72" t="s">
        <v>344</v>
      </c>
      <c r="Z44" s="72" t="s">
        <v>345</v>
      </c>
      <c r="AA44" s="72" t="s">
        <v>346</v>
      </c>
      <c r="AB44" s="72" t="s">
        <v>347</v>
      </c>
      <c r="AC44" s="72" t="s">
        <v>348</v>
      </c>
      <c r="AD44" s="54"/>
    </row>
    <row r="45" spans="2:33" x14ac:dyDescent="0.2">
      <c r="B45" s="360"/>
      <c r="C45" s="344"/>
      <c r="D45" s="347"/>
      <c r="E45" s="347"/>
      <c r="F45" s="5"/>
      <c r="G45" s="5"/>
      <c r="H45" s="5"/>
      <c r="I45" s="5"/>
      <c r="J45" s="5"/>
      <c r="K45" s="136"/>
      <c r="M45" s="84" t="s">
        <v>307</v>
      </c>
      <c r="N45" s="84" t="s">
        <v>297</v>
      </c>
      <c r="O45" s="84" t="s">
        <v>239</v>
      </c>
      <c r="P45" s="27" t="s">
        <v>59</v>
      </c>
      <c r="Q45" s="27" t="s">
        <v>237</v>
      </c>
      <c r="R45" s="27" t="s">
        <v>236</v>
      </c>
      <c r="S45" s="96" t="s">
        <v>234</v>
      </c>
      <c r="T45" s="128"/>
      <c r="U45" s="12">
        <v>2</v>
      </c>
      <c r="W45" s="12">
        <f>SUM(X45:AC45)</f>
        <v>0</v>
      </c>
      <c r="X45" s="5">
        <f>INDEX('IN1'!$G$8:$G$220,MATCH(Check!X44,'IN1'!$C$8:$C$220,0))</f>
        <v>0</v>
      </c>
      <c r="Y45" s="5">
        <f>INDEX('IN1'!$G$8:$G$220,MATCH(Check!Y44,'IN1'!$C$8:$C$220,0))</f>
        <v>0</v>
      </c>
      <c r="Z45" s="5">
        <f>INDEX('IN1'!$G$8:$G$220,MATCH(Check!Z44,'IN1'!$C$8:$C$220,0))</f>
        <v>0</v>
      </c>
      <c r="AA45" s="5">
        <f>INDEX('IN1'!$G$8:$G$220,MATCH(Check!AA44,'IN1'!$C$8:$C$220,0))</f>
        <v>0</v>
      </c>
      <c r="AB45" s="5">
        <f>INDEX('IN1'!$G$8:$G$220,MATCH(Check!AB44,'IN1'!$C$8:$C$220,0))</f>
        <v>0</v>
      </c>
      <c r="AC45" s="5">
        <f>INDEX('IN1'!$G$8:$G$220,MATCH(Check!AC44,'IN1'!$C$8:$C$220,0))</f>
        <v>0</v>
      </c>
    </row>
    <row r="46" spans="2:33" ht="71.400000000000006" customHeight="1" x14ac:dyDescent="0.2">
      <c r="B46" s="360"/>
      <c r="C46" s="344"/>
      <c r="D46" s="347"/>
      <c r="E46" s="347"/>
      <c r="F46" s="5" t="s">
        <v>343</v>
      </c>
      <c r="G46" s="5" t="s">
        <v>337</v>
      </c>
      <c r="H46" s="4" t="b">
        <f>OR(K46&gt;=P46)</f>
        <v>0</v>
      </c>
      <c r="I46" s="12" t="str">
        <f>HLOOKUP(K46,M46:S47,2)</f>
        <v>F</v>
      </c>
      <c r="J46" s="72" t="s">
        <v>342</v>
      </c>
      <c r="K46" s="136">
        <f>W47</f>
        <v>0</v>
      </c>
      <c r="M46" s="84">
        <v>0</v>
      </c>
      <c r="N46" s="84">
        <v>0</v>
      </c>
      <c r="O46" s="84">
        <v>0</v>
      </c>
      <c r="P46" s="12">
        <v>10</v>
      </c>
      <c r="Q46" s="12">
        <v>22</v>
      </c>
      <c r="R46" s="12">
        <v>34</v>
      </c>
      <c r="S46" s="97">
        <v>46</v>
      </c>
      <c r="T46" s="128" t="s">
        <v>403</v>
      </c>
      <c r="U46" s="133" t="s">
        <v>505</v>
      </c>
      <c r="W46" s="93" t="s">
        <v>412</v>
      </c>
      <c r="X46" s="72" t="s">
        <v>349</v>
      </c>
      <c r="Y46" s="72" t="s">
        <v>350</v>
      </c>
      <c r="Z46" s="72" t="s">
        <v>261</v>
      </c>
      <c r="AA46" s="72" t="s">
        <v>259</v>
      </c>
      <c r="AB46" s="72" t="s">
        <v>351</v>
      </c>
      <c r="AC46" s="72" t="s">
        <v>352</v>
      </c>
      <c r="AD46" s="72" t="s">
        <v>353</v>
      </c>
      <c r="AE46" s="72" t="s">
        <v>354</v>
      </c>
    </row>
    <row r="47" spans="2:33" ht="13.8" thickBot="1" x14ac:dyDescent="0.25">
      <c r="B47" s="361"/>
      <c r="C47" s="345"/>
      <c r="D47" s="348"/>
      <c r="E47" s="348"/>
      <c r="F47" s="67"/>
      <c r="G47" s="67"/>
      <c r="H47" s="67"/>
      <c r="I47" s="67"/>
      <c r="J47" s="120"/>
      <c r="K47" s="137"/>
      <c r="M47" s="85" t="s">
        <v>307</v>
      </c>
      <c r="N47" s="85" t="s">
        <v>297</v>
      </c>
      <c r="O47" s="85" t="s">
        <v>239</v>
      </c>
      <c r="P47" s="71" t="s">
        <v>59</v>
      </c>
      <c r="Q47" s="71" t="s">
        <v>237</v>
      </c>
      <c r="R47" s="71" t="s">
        <v>236</v>
      </c>
      <c r="S47" s="108" t="s">
        <v>234</v>
      </c>
      <c r="T47" s="131"/>
      <c r="U47" s="12">
        <v>10</v>
      </c>
      <c r="W47" s="12">
        <f>SUM(X47:AE47)</f>
        <v>0</v>
      </c>
      <c r="X47" s="5">
        <f>INDEX('IN1'!$G$8:$G$220,MATCH(Check!X46,'IN1'!$C$8:$C$220,0))</f>
        <v>0</v>
      </c>
      <c r="Y47" s="5">
        <f>INDEX('IN1'!$G$8:$G$220,MATCH(Check!Y46,'IN1'!$C$8:$C$220,0))</f>
        <v>0</v>
      </c>
      <c r="Z47" s="5">
        <f>INDEX('IN1'!$G$8:$G$220,MATCH(Check!Z46,'IN1'!$C$8:$C$220,0))</f>
        <v>0</v>
      </c>
      <c r="AA47" s="5">
        <f>INDEX('IN1'!$G$8:$G$220,MATCH(Check!AA46,'IN1'!$C$8:$C$220,0))</f>
        <v>0</v>
      </c>
      <c r="AB47" s="5">
        <f>INDEX('IN1'!$G$8:$G$220,MATCH(Check!AB46,'IN1'!$C$8:$C$220,0))</f>
        <v>0</v>
      </c>
      <c r="AC47" s="5">
        <f>INDEX('IN1'!$G$8:$G$220,MATCH(Check!AC46,'IN1'!$C$8:$C$220,0))</f>
        <v>0</v>
      </c>
      <c r="AD47" s="5">
        <f>INDEX('IN1'!$G$8:$G$220,MATCH(Check!AD46,'IN1'!$C$8:$C$220,0))</f>
        <v>0</v>
      </c>
      <c r="AE47" s="5">
        <f>INDEX('IN1'!$G$8:$G$220,MATCH(Check!AE46,'IN1'!$C$8:$C$220,0))</f>
        <v>0</v>
      </c>
    </row>
    <row r="48" spans="2:33" ht="13.8" thickBot="1" x14ac:dyDescent="0.25">
      <c r="K48" s="138"/>
      <c r="T48" s="114"/>
      <c r="U48" s="134"/>
    </row>
    <row r="49" spans="2:37" ht="34.799999999999997" customHeight="1" x14ac:dyDescent="0.2">
      <c r="B49" s="80" t="s">
        <v>355</v>
      </c>
      <c r="C49" s="145" t="b">
        <f>IF(D49&gt;=E49,TRUE,FALSE)</f>
        <v>0</v>
      </c>
      <c r="D49" s="146">
        <f>COUNTIF(H49:H58,TRUE)</f>
        <v>0</v>
      </c>
      <c r="E49" s="147">
        <v>4</v>
      </c>
      <c r="F49" s="63" t="s">
        <v>356</v>
      </c>
      <c r="G49" s="63" t="s">
        <v>357</v>
      </c>
      <c r="H49" s="118" t="b">
        <f>OR(K49&gt;=P49)</f>
        <v>0</v>
      </c>
      <c r="I49" s="65" t="str">
        <f>HLOOKUP(K49,M49:S50,2)</f>
        <v>H</v>
      </c>
      <c r="J49" s="121" t="s">
        <v>511</v>
      </c>
      <c r="K49" s="140">
        <f>'IN1'!O2/(136/4*ID!C8)</f>
        <v>0</v>
      </c>
      <c r="M49" s="94">
        <v>0</v>
      </c>
      <c r="N49" s="94">
        <v>0.5</v>
      </c>
      <c r="O49" s="94">
        <v>0.8</v>
      </c>
      <c r="P49" s="94">
        <v>1</v>
      </c>
      <c r="Q49" s="94">
        <v>1.05</v>
      </c>
      <c r="R49" s="94">
        <v>1.1000000000000001</v>
      </c>
      <c r="S49" s="111">
        <v>1.1499999999999999</v>
      </c>
      <c r="T49" s="93" t="s">
        <v>527</v>
      </c>
      <c r="U49" s="133" t="s">
        <v>505</v>
      </c>
      <c r="X49" s="341" t="s">
        <v>510</v>
      </c>
      <c r="Y49" s="341"/>
      <c r="Z49" s="341"/>
      <c r="AA49" s="341"/>
      <c r="AB49" s="341"/>
      <c r="AC49" s="341"/>
      <c r="AD49" s="341"/>
      <c r="AE49" s="341"/>
    </row>
    <row r="50" spans="2:37" ht="18" customHeight="1" x14ac:dyDescent="0.2">
      <c r="B50" s="81"/>
      <c r="C50" s="148"/>
      <c r="D50" s="149"/>
      <c r="E50" s="150"/>
      <c r="F50" s="5"/>
      <c r="G50" s="5"/>
      <c r="H50" s="5"/>
      <c r="I50" s="5"/>
      <c r="J50" s="72"/>
      <c r="K50" s="141"/>
      <c r="M50" s="84" t="s">
        <v>307</v>
      </c>
      <c r="N50" s="84" t="s">
        <v>297</v>
      </c>
      <c r="O50" s="84" t="s">
        <v>239</v>
      </c>
      <c r="P50" s="27" t="s">
        <v>59</v>
      </c>
      <c r="Q50" s="27" t="s">
        <v>237</v>
      </c>
      <c r="R50" s="27" t="s">
        <v>236</v>
      </c>
      <c r="S50" s="96" t="s">
        <v>234</v>
      </c>
      <c r="T50" s="93"/>
      <c r="U50" s="156">
        <v>1</v>
      </c>
    </row>
    <row r="51" spans="2:37" ht="32.4" customHeight="1" x14ac:dyDescent="0.2">
      <c r="B51" s="81"/>
      <c r="C51" s="148"/>
      <c r="D51" s="149"/>
      <c r="E51" s="150"/>
      <c r="F51" s="5" t="s">
        <v>358</v>
      </c>
      <c r="G51" s="5" t="s">
        <v>359</v>
      </c>
      <c r="H51" s="4" t="b">
        <f>OR(K51&gt;=P51)</f>
        <v>0</v>
      </c>
      <c r="I51" s="12" t="str">
        <f>HLOOKUP(K51,M51:S52,2)</f>
        <v>H</v>
      </c>
      <c r="J51" s="72" t="s">
        <v>495</v>
      </c>
      <c r="K51" s="136">
        <f>W52</f>
        <v>0</v>
      </c>
      <c r="M51" s="5">
        <v>0</v>
      </c>
      <c r="N51" s="5">
        <f>8/4*ID!$C$8</f>
        <v>2</v>
      </c>
      <c r="O51" s="5">
        <v>12</v>
      </c>
      <c r="P51" s="5">
        <v>18</v>
      </c>
      <c r="Q51" s="5">
        <f>40/4*ID!$C$8</f>
        <v>10</v>
      </c>
      <c r="R51" s="5">
        <v>42</v>
      </c>
      <c r="S51" s="110">
        <v>52</v>
      </c>
      <c r="T51" s="93" t="s">
        <v>403</v>
      </c>
      <c r="U51" s="133" t="s">
        <v>505</v>
      </c>
      <c r="W51" s="93" t="s">
        <v>412</v>
      </c>
      <c r="X51" s="72" t="s">
        <v>361</v>
      </c>
      <c r="Y51" s="72" t="s">
        <v>362</v>
      </c>
      <c r="Z51" s="72" t="s">
        <v>363</v>
      </c>
      <c r="AA51" s="72" t="s">
        <v>364</v>
      </c>
      <c r="AB51" s="72" t="s">
        <v>365</v>
      </c>
      <c r="AC51" s="72" t="s">
        <v>349</v>
      </c>
      <c r="AD51" s="72" t="s">
        <v>261</v>
      </c>
      <c r="AE51" s="72" t="s">
        <v>259</v>
      </c>
    </row>
    <row r="52" spans="2:37" ht="19.2" customHeight="1" x14ac:dyDescent="0.2">
      <c r="B52" s="81"/>
      <c r="C52" s="148"/>
      <c r="D52" s="149"/>
      <c r="E52" s="150"/>
      <c r="F52" s="5"/>
      <c r="G52" s="5"/>
      <c r="H52" s="5"/>
      <c r="I52" s="5"/>
      <c r="J52" s="5"/>
      <c r="K52" s="136"/>
      <c r="M52" s="84" t="s">
        <v>307</v>
      </c>
      <c r="N52" s="84" t="s">
        <v>297</v>
      </c>
      <c r="O52" s="84" t="s">
        <v>239</v>
      </c>
      <c r="P52" s="27" t="s">
        <v>59</v>
      </c>
      <c r="Q52" s="27" t="s">
        <v>237</v>
      </c>
      <c r="R52" s="27" t="s">
        <v>236</v>
      </c>
      <c r="S52" s="96" t="s">
        <v>234</v>
      </c>
      <c r="T52" s="93"/>
      <c r="U52" s="12">
        <v>18</v>
      </c>
      <c r="W52" s="12">
        <f>SUM(X52:AE52)</f>
        <v>0</v>
      </c>
      <c r="X52" s="5">
        <f>INDEX('IN1'!$G$8:$G$220,MATCH(Check!X51,'IN1'!$C$8:$C$220,0))</f>
        <v>0</v>
      </c>
      <c r="Y52" s="5">
        <f>INDEX('IN1'!$G$8:$G$220,MATCH(Check!Y51,'IN1'!$C$8:$C$220,0))</f>
        <v>0</v>
      </c>
      <c r="Z52" s="5">
        <f>INDEX('IN1'!$G$8:$G$220,MATCH(Check!Z51,'IN1'!$C$8:$C$220,0))</f>
        <v>0</v>
      </c>
      <c r="AA52" s="5">
        <f>INDEX('IN1'!$G$8:$G$220,MATCH(Check!AA51,'IN1'!$C$8:$C$220,0))</f>
        <v>0</v>
      </c>
      <c r="AB52" s="5">
        <f>INDEX('IN1'!$G$8:$G$220,MATCH(Check!AB51,'IN1'!$C$8:$C$220,0))</f>
        <v>0</v>
      </c>
      <c r="AC52" s="5">
        <f>INDEX('IN1'!$G$8:$G$220,MATCH(Check!AC51,'IN1'!$C$8:$C$220,0))</f>
        <v>0</v>
      </c>
      <c r="AD52" s="5">
        <f>INDEX('IN1'!$G$8:$G$220,MATCH(Check!AD51,'IN1'!$C$8:$C$220,0))</f>
        <v>0</v>
      </c>
      <c r="AE52" s="5">
        <f>INDEX('IN1'!$G$8:$G$220,MATCH(Check!AE51,'IN1'!$C$8:$C$220,0))</f>
        <v>0</v>
      </c>
    </row>
    <row r="53" spans="2:37" ht="26.4" x14ac:dyDescent="0.2">
      <c r="B53" s="81"/>
      <c r="C53" s="148"/>
      <c r="D53" s="149"/>
      <c r="E53" s="150"/>
      <c r="F53" s="5" t="s">
        <v>358</v>
      </c>
      <c r="G53" s="5" t="s">
        <v>359</v>
      </c>
      <c r="H53" s="4" t="b">
        <f>OR(K53&gt;=P53)</f>
        <v>0</v>
      </c>
      <c r="I53" s="12" t="str">
        <f>HLOOKUP(K53,M53:S54,2)</f>
        <v>H</v>
      </c>
      <c r="J53" s="72" t="s">
        <v>366</v>
      </c>
      <c r="K53" s="139">
        <f>(LEFT(ID!C14,3)+0.5)*2</f>
        <v>1</v>
      </c>
      <c r="M53" s="5">
        <v>0</v>
      </c>
      <c r="N53" s="5">
        <v>2</v>
      </c>
      <c r="O53" s="5">
        <v>3</v>
      </c>
      <c r="P53" s="5">
        <v>4</v>
      </c>
      <c r="Q53" s="5">
        <v>5</v>
      </c>
      <c r="R53" s="5">
        <v>6</v>
      </c>
      <c r="S53" s="110">
        <v>8</v>
      </c>
      <c r="T53" s="93" t="s">
        <v>514</v>
      </c>
      <c r="U53" s="133" t="s">
        <v>505</v>
      </c>
      <c r="X53" t="s">
        <v>370</v>
      </c>
    </row>
    <row r="54" spans="2:37" ht="16.8" customHeight="1" x14ac:dyDescent="0.2">
      <c r="B54" s="81"/>
      <c r="C54" s="148"/>
      <c r="D54" s="149"/>
      <c r="E54" s="150"/>
      <c r="F54" s="5"/>
      <c r="G54" s="5"/>
      <c r="H54" s="5"/>
      <c r="I54" s="5"/>
      <c r="J54" s="72"/>
      <c r="K54" s="136"/>
      <c r="M54" s="84" t="s">
        <v>307</v>
      </c>
      <c r="N54" s="84" t="s">
        <v>297</v>
      </c>
      <c r="O54" s="84" t="s">
        <v>239</v>
      </c>
      <c r="P54" s="27" t="s">
        <v>59</v>
      </c>
      <c r="Q54" s="27" t="s">
        <v>237</v>
      </c>
      <c r="R54" s="27" t="s">
        <v>236</v>
      </c>
      <c r="S54" s="96" t="s">
        <v>234</v>
      </c>
      <c r="T54" s="93"/>
      <c r="U54" s="206">
        <v>4</v>
      </c>
    </row>
    <row r="55" spans="2:37" ht="26.4" x14ac:dyDescent="0.2">
      <c r="B55" s="81"/>
      <c r="C55" s="148"/>
      <c r="D55" s="149"/>
      <c r="E55" s="150"/>
      <c r="F55" s="5" t="s">
        <v>268</v>
      </c>
      <c r="G55" s="5" t="s">
        <v>269</v>
      </c>
      <c r="H55" s="4" t="b">
        <f>OR(K55&gt;=P55)</f>
        <v>0</v>
      </c>
      <c r="I55" s="12" t="str">
        <f>HLOOKUP(K55,M55:S56,2)</f>
        <v>F</v>
      </c>
      <c r="J55" s="101" t="s">
        <v>779</v>
      </c>
      <c r="K55" s="142">
        <f>'IN2'!F10</f>
        <v>0</v>
      </c>
      <c r="M55" s="5">
        <v>0</v>
      </c>
      <c r="N55" s="5">
        <v>0</v>
      </c>
      <c r="O55" s="5">
        <v>0</v>
      </c>
      <c r="P55" s="5">
        <v>1</v>
      </c>
      <c r="Q55" s="5">
        <v>2</v>
      </c>
      <c r="R55" s="5">
        <v>3</v>
      </c>
      <c r="S55" s="110">
        <v>4</v>
      </c>
      <c r="T55" s="93" t="s">
        <v>513</v>
      </c>
      <c r="U55" s="133" t="s">
        <v>505</v>
      </c>
      <c r="X55" s="349" t="s">
        <v>777</v>
      </c>
      <c r="Y55" s="350"/>
      <c r="Z55" s="350"/>
      <c r="AA55" s="350"/>
      <c r="AB55" s="350"/>
      <c r="AC55" s="350"/>
      <c r="AD55" s="350"/>
      <c r="AE55" s="350"/>
    </row>
    <row r="56" spans="2:37" ht="43.2" customHeight="1" x14ac:dyDescent="0.2">
      <c r="B56" s="81"/>
      <c r="C56" s="148"/>
      <c r="D56" s="149"/>
      <c r="E56" s="150"/>
      <c r="F56" s="5"/>
      <c r="G56" s="5"/>
      <c r="H56" s="5"/>
      <c r="I56" s="5"/>
      <c r="J56" s="72"/>
      <c r="K56" s="136"/>
      <c r="M56" s="84" t="s">
        <v>307</v>
      </c>
      <c r="N56" s="84" t="s">
        <v>297</v>
      </c>
      <c r="O56" s="84" t="s">
        <v>239</v>
      </c>
      <c r="P56" s="27" t="s">
        <v>59</v>
      </c>
      <c r="Q56" s="27" t="s">
        <v>237</v>
      </c>
      <c r="R56" s="27" t="s">
        <v>236</v>
      </c>
      <c r="S56" s="96" t="s">
        <v>234</v>
      </c>
      <c r="T56" s="93"/>
      <c r="U56" s="206">
        <v>1</v>
      </c>
      <c r="X56" s="367" t="s">
        <v>368</v>
      </c>
      <c r="Y56" s="368"/>
      <c r="Z56" s="368"/>
      <c r="AA56" s="368"/>
      <c r="AB56" s="368"/>
      <c r="AC56" s="368"/>
      <c r="AD56" s="368"/>
      <c r="AE56" s="368"/>
    </row>
    <row r="57" spans="2:37" ht="29.4" customHeight="1" x14ac:dyDescent="0.2">
      <c r="B57" s="81"/>
      <c r="C57" s="148"/>
      <c r="D57" s="149"/>
      <c r="E57" s="150"/>
      <c r="F57" s="5" t="s">
        <v>360</v>
      </c>
      <c r="G57" s="72" t="s">
        <v>515</v>
      </c>
      <c r="H57" s="4" t="b">
        <f>OR(K57&gt;=P57)</f>
        <v>0</v>
      </c>
      <c r="I57" s="12" t="str">
        <f>HLOOKUP(K57,M57:S58,2)</f>
        <v>F</v>
      </c>
      <c r="J57" s="72" t="s">
        <v>698</v>
      </c>
      <c r="K57" s="139">
        <f>W58</f>
        <v>0</v>
      </c>
      <c r="M57" s="5">
        <v>0</v>
      </c>
      <c r="N57" s="5">
        <v>0</v>
      </c>
      <c r="O57" s="5">
        <v>0</v>
      </c>
      <c r="P57" s="5">
        <v>1</v>
      </c>
      <c r="Q57" s="5">
        <v>2</v>
      </c>
      <c r="R57" s="5">
        <v>3</v>
      </c>
      <c r="S57" s="110">
        <v>4</v>
      </c>
      <c r="T57" s="93" t="s">
        <v>527</v>
      </c>
      <c r="U57" s="133" t="s">
        <v>505</v>
      </c>
      <c r="W57" s="93" t="s">
        <v>412</v>
      </c>
      <c r="X57" s="72" t="s">
        <v>528</v>
      </c>
      <c r="Y57" s="207" t="s">
        <v>693</v>
      </c>
      <c r="Z57" s="207" t="s">
        <v>694</v>
      </c>
      <c r="AB57" s="288" t="s">
        <v>696</v>
      </c>
      <c r="AC57" s="102"/>
      <c r="AD57" s="102"/>
      <c r="AE57" s="102"/>
    </row>
    <row r="58" spans="2:37" ht="40.200000000000003" customHeight="1" thickBot="1" x14ac:dyDescent="0.25">
      <c r="B58" s="82"/>
      <c r="C58" s="151"/>
      <c r="D58" s="152"/>
      <c r="E58" s="153"/>
      <c r="F58" s="67"/>
      <c r="G58" s="120"/>
      <c r="H58" s="67"/>
      <c r="I58" s="67"/>
      <c r="J58" s="67"/>
      <c r="K58" s="143"/>
      <c r="M58" s="84" t="s">
        <v>307</v>
      </c>
      <c r="N58" s="84" t="s">
        <v>297</v>
      </c>
      <c r="O58" s="84" t="s">
        <v>239</v>
      </c>
      <c r="P58" s="205" t="s">
        <v>695</v>
      </c>
      <c r="Q58" s="27" t="s">
        <v>369</v>
      </c>
      <c r="R58" s="27" t="s">
        <v>369</v>
      </c>
      <c r="S58" s="96" t="s">
        <v>234</v>
      </c>
      <c r="T58" s="93"/>
      <c r="U58" s="206">
        <v>1</v>
      </c>
      <c r="W58" s="12">
        <f>SUM(X58)+(Y58+Z58)/136</f>
        <v>0</v>
      </c>
      <c r="X58" s="5">
        <f>INDEX('IN1'!$G$8:$G$220,MATCH(Check!X57,'IN1'!$C$8:$C$220,0))</f>
        <v>0</v>
      </c>
      <c r="Y58" s="5">
        <f>'IN1'!O2</f>
        <v>0</v>
      </c>
      <c r="Z58" s="5">
        <f>'IN1'!Q2</f>
        <v>0</v>
      </c>
      <c r="AB58" s="341" t="s">
        <v>697</v>
      </c>
      <c r="AC58" s="341"/>
      <c r="AD58" s="341"/>
      <c r="AE58" s="341"/>
      <c r="AF58" s="341"/>
      <c r="AG58" s="341"/>
      <c r="AH58" s="341"/>
      <c r="AI58" s="341"/>
    </row>
    <row r="59" spans="2:37" ht="13.8" thickBot="1" x14ac:dyDescent="0.25">
      <c r="J59"/>
      <c r="K59" s="144"/>
      <c r="T59" s="93"/>
      <c r="U59" s="134"/>
    </row>
    <row r="60" spans="2:37" ht="46.8" customHeight="1" x14ac:dyDescent="0.2">
      <c r="B60" s="80" t="s">
        <v>379</v>
      </c>
      <c r="C60" s="145" t="b">
        <f>IF(D60&gt;=E60,TRUE,FALSE)</f>
        <v>0</v>
      </c>
      <c r="D60" s="146">
        <f>COUNTIF(H60:H65,TRUE)</f>
        <v>0</v>
      </c>
      <c r="E60" s="147">
        <v>3</v>
      </c>
      <c r="F60" s="63" t="s">
        <v>371</v>
      </c>
      <c r="G60" s="63" t="s">
        <v>372</v>
      </c>
      <c r="H60" s="118" t="b">
        <f>OR(K60&gt;=P60)</f>
        <v>0</v>
      </c>
      <c r="I60" s="65" t="str">
        <f>HLOOKUP(K60,M60:S61,2)</f>
        <v>H</v>
      </c>
      <c r="J60" s="121" t="s">
        <v>377</v>
      </c>
      <c r="K60" s="135">
        <f>W61</f>
        <v>0</v>
      </c>
      <c r="M60" s="5">
        <v>0</v>
      </c>
      <c r="N60" s="5">
        <v>1</v>
      </c>
      <c r="O60" s="5">
        <v>2</v>
      </c>
      <c r="P60" s="5">
        <v>3</v>
      </c>
      <c r="Q60" s="5">
        <v>5</v>
      </c>
      <c r="R60" s="5">
        <v>7</v>
      </c>
      <c r="S60" s="110">
        <v>9</v>
      </c>
      <c r="T60" s="93" t="s">
        <v>403</v>
      </c>
      <c r="U60" s="133" t="s">
        <v>505</v>
      </c>
      <c r="W60" s="93" t="s">
        <v>412</v>
      </c>
      <c r="X60" s="115" t="s">
        <v>30</v>
      </c>
      <c r="Y60" s="115" t="s">
        <v>31</v>
      </c>
      <c r="Z60" s="115" t="s">
        <v>32</v>
      </c>
      <c r="AA60" s="115" t="s">
        <v>33</v>
      </c>
      <c r="AB60" s="115" t="s">
        <v>34</v>
      </c>
      <c r="AC60" s="115" t="s">
        <v>35</v>
      </c>
      <c r="AD60" s="115" t="s">
        <v>36</v>
      </c>
      <c r="AE60" s="115" t="s">
        <v>37</v>
      </c>
      <c r="AF60" s="115" t="s">
        <v>38</v>
      </c>
      <c r="AG60" s="115" t="s">
        <v>39</v>
      </c>
      <c r="AH60" s="115" t="s">
        <v>40</v>
      </c>
      <c r="AI60" s="115" t="s">
        <v>41</v>
      </c>
      <c r="AJ60" s="115" t="s">
        <v>42</v>
      </c>
      <c r="AK60" s="115" t="s">
        <v>43</v>
      </c>
    </row>
    <row r="61" spans="2:37" ht="39.6" customHeight="1" x14ac:dyDescent="0.2">
      <c r="B61" s="81"/>
      <c r="C61" s="148"/>
      <c r="D61" s="149"/>
      <c r="E61" s="150"/>
      <c r="F61" s="5"/>
      <c r="H61" s="5"/>
      <c r="I61" s="5"/>
      <c r="J61" s="72" t="s">
        <v>373</v>
      </c>
      <c r="K61" s="136"/>
      <c r="M61" s="84" t="s">
        <v>307</v>
      </c>
      <c r="N61" s="84" t="s">
        <v>297</v>
      </c>
      <c r="O61" s="84" t="s">
        <v>239</v>
      </c>
      <c r="P61" s="27" t="s">
        <v>59</v>
      </c>
      <c r="Q61" s="27" t="s">
        <v>237</v>
      </c>
      <c r="R61" s="27" t="s">
        <v>236</v>
      </c>
      <c r="S61" s="96" t="s">
        <v>234</v>
      </c>
      <c r="T61" s="93"/>
      <c r="U61" s="12">
        <v>3</v>
      </c>
      <c r="W61" s="12">
        <f>SUM(X61:AK61)</f>
        <v>0</v>
      </c>
      <c r="X61" s="5">
        <f>INDEX('IN1'!$G$8:$G$220,MATCH(Check!X60,'IN1'!$C$8:$C$220,0))</f>
        <v>0</v>
      </c>
      <c r="Y61" s="5">
        <f>INDEX('IN1'!$G$8:$G$220,MATCH(Check!Y60,'IN1'!$C$8:$C$220,0))</f>
        <v>0</v>
      </c>
      <c r="Z61" s="5">
        <f>INDEX('IN1'!$G$8:$G$220,MATCH(Check!Z60,'IN1'!$C$8:$C$220,0))</f>
        <v>0</v>
      </c>
      <c r="AA61" s="5">
        <f>INDEX('IN1'!$G$8:$G$220,MATCH(Check!AA60,'IN1'!$C$8:$C$220,0))</f>
        <v>0</v>
      </c>
      <c r="AB61" s="5">
        <f>INDEX('IN1'!$G$8:$G$220,MATCH(Check!AB60,'IN1'!$C$8:$C$220,0))</f>
        <v>0</v>
      </c>
      <c r="AC61" s="5">
        <f>INDEX('IN1'!$G$8:$G$220,MATCH(Check!AC60,'IN1'!$C$8:$C$220,0))</f>
        <v>0</v>
      </c>
      <c r="AD61" s="5">
        <f>INDEX('IN1'!$G$8:$G$220,MATCH(Check!AD60,'IN1'!$C$8:$C$220,0))</f>
        <v>0</v>
      </c>
      <c r="AE61" s="5">
        <f>INDEX('IN1'!$G$8:$G$220,MATCH(Check!AE60,'IN1'!$C$8:$C$220,0))</f>
        <v>0</v>
      </c>
      <c r="AF61" s="5">
        <f>INDEX('IN1'!$G$8:$G$220,MATCH(Check!AF60,'IN1'!$C$8:$C$220,0))</f>
        <v>0</v>
      </c>
      <c r="AG61" s="5">
        <f>INDEX('IN1'!$G$8:$G$220,MATCH(Check!AG60,'IN1'!$C$8:$C$220,0))</f>
        <v>0</v>
      </c>
      <c r="AH61" s="5">
        <f>INDEX('IN1'!$G$8:$G$220,MATCH(Check!AH60,'IN1'!$C$8:$C$220,0))</f>
        <v>0</v>
      </c>
      <c r="AI61" s="5">
        <f>INDEX('IN1'!$G$8:$G$220,MATCH(Check!AI60,'IN1'!$C$8:$C$220,0))</f>
        <v>0</v>
      </c>
      <c r="AJ61" s="5">
        <f>INDEX('IN1'!$G$8:$G$220,MATCH(Check!AJ60,'IN1'!$C$8:$C$220,0))</f>
        <v>0</v>
      </c>
      <c r="AK61" s="5">
        <f>INDEX('IN1'!$G$8:$G$220,MATCH(Check!AK60,'IN1'!$C$8:$C$220,0))</f>
        <v>0</v>
      </c>
    </row>
    <row r="62" spans="2:37" ht="29.4" customHeight="1" x14ac:dyDescent="0.2">
      <c r="B62" s="81"/>
      <c r="C62" s="148"/>
      <c r="D62" s="149"/>
      <c r="E62" s="150"/>
      <c r="F62" s="5" t="s">
        <v>270</v>
      </c>
      <c r="G62" s="5" t="s">
        <v>271</v>
      </c>
      <c r="H62" s="4" t="b">
        <f>OR(K62&gt;=P62)</f>
        <v>0</v>
      </c>
      <c r="I62" s="12" t="str">
        <f>HLOOKUP(K62,M62:S63,2)</f>
        <v>F</v>
      </c>
      <c r="J62" s="5" t="s">
        <v>375</v>
      </c>
      <c r="K62" s="136">
        <f>'IN2'!F11</f>
        <v>0</v>
      </c>
      <c r="M62" s="5">
        <v>0</v>
      </c>
      <c r="N62" s="5">
        <v>0</v>
      </c>
      <c r="O62" s="5">
        <v>0</v>
      </c>
      <c r="P62" s="5">
        <v>1</v>
      </c>
      <c r="Q62" s="5">
        <v>2</v>
      </c>
      <c r="R62" s="5">
        <v>3</v>
      </c>
      <c r="S62" s="110">
        <v>4</v>
      </c>
      <c r="T62" s="93" t="s">
        <v>522</v>
      </c>
      <c r="U62" s="133" t="s">
        <v>505</v>
      </c>
      <c r="X62" s="99" t="s">
        <v>748</v>
      </c>
    </row>
    <row r="63" spans="2:37" ht="39" customHeight="1" x14ac:dyDescent="0.2">
      <c r="B63" s="81"/>
      <c r="C63" s="148"/>
      <c r="D63" s="149"/>
      <c r="E63" s="150"/>
      <c r="F63" s="5"/>
      <c r="G63" s="53"/>
      <c r="H63" s="5"/>
      <c r="I63" s="5"/>
      <c r="J63" s="72" t="s">
        <v>374</v>
      </c>
      <c r="K63" s="136"/>
      <c r="M63" s="84" t="s">
        <v>307</v>
      </c>
      <c r="N63" s="84" t="s">
        <v>297</v>
      </c>
      <c r="O63" s="84" t="s">
        <v>239</v>
      </c>
      <c r="P63" s="27" t="s">
        <v>59</v>
      </c>
      <c r="Q63" s="27" t="s">
        <v>237</v>
      </c>
      <c r="R63" s="27" t="s">
        <v>236</v>
      </c>
      <c r="S63" s="96" t="s">
        <v>234</v>
      </c>
      <c r="T63" s="93"/>
      <c r="U63" s="206">
        <v>1</v>
      </c>
      <c r="X63" s="341" t="s">
        <v>378</v>
      </c>
      <c r="Y63" s="341"/>
      <c r="Z63" s="341"/>
      <c r="AA63" s="341"/>
      <c r="AB63" s="341"/>
      <c r="AC63" s="341"/>
      <c r="AD63" s="341"/>
      <c r="AE63" s="341"/>
    </row>
    <row r="64" spans="2:37" ht="26.4" x14ac:dyDescent="0.2">
      <c r="B64" s="81"/>
      <c r="C64" s="148"/>
      <c r="D64" s="149"/>
      <c r="E64" s="150"/>
      <c r="F64" s="5" t="s">
        <v>272</v>
      </c>
      <c r="G64" s="72" t="s">
        <v>376</v>
      </c>
      <c r="H64" s="4" t="b">
        <f>OR(K64&gt;=P64)</f>
        <v>0</v>
      </c>
      <c r="I64" s="12" t="str">
        <f>HLOOKUP(K64,M64:S65,2)</f>
        <v>F</v>
      </c>
      <c r="J64" s="5" t="s">
        <v>375</v>
      </c>
      <c r="K64" s="136">
        <f>'IN2'!F12</f>
        <v>0</v>
      </c>
      <c r="M64" s="5">
        <v>0</v>
      </c>
      <c r="N64" s="5">
        <v>0</v>
      </c>
      <c r="O64" s="5">
        <v>0</v>
      </c>
      <c r="P64" s="5">
        <v>1</v>
      </c>
      <c r="Q64" s="5">
        <v>2</v>
      </c>
      <c r="R64" s="5">
        <v>3</v>
      </c>
      <c r="S64" s="110">
        <v>4</v>
      </c>
      <c r="T64" s="93" t="s">
        <v>522</v>
      </c>
      <c r="U64" s="133" t="s">
        <v>505</v>
      </c>
      <c r="X64" t="s">
        <v>747</v>
      </c>
    </row>
    <row r="65" spans="2:37" ht="51.6" customHeight="1" thickBot="1" x14ac:dyDescent="0.25">
      <c r="B65" s="82"/>
      <c r="C65" s="151"/>
      <c r="D65" s="152"/>
      <c r="E65" s="153"/>
      <c r="F65" s="67"/>
      <c r="G65" s="67"/>
      <c r="H65" s="67"/>
      <c r="I65" s="67"/>
      <c r="J65" s="120" t="s">
        <v>516</v>
      </c>
      <c r="K65" s="137"/>
      <c r="M65" s="84" t="s">
        <v>307</v>
      </c>
      <c r="N65" s="84" t="s">
        <v>297</v>
      </c>
      <c r="O65" s="84" t="s">
        <v>239</v>
      </c>
      <c r="P65" s="27" t="s">
        <v>59</v>
      </c>
      <c r="Q65" s="27" t="s">
        <v>237</v>
      </c>
      <c r="R65" s="27" t="s">
        <v>236</v>
      </c>
      <c r="S65" s="96" t="s">
        <v>234</v>
      </c>
      <c r="T65" s="93"/>
      <c r="U65" s="206">
        <v>1</v>
      </c>
      <c r="X65" s="342" t="s">
        <v>750</v>
      </c>
      <c r="Y65" s="342"/>
      <c r="Z65" s="342"/>
      <c r="AA65" s="342"/>
      <c r="AB65" s="342"/>
      <c r="AC65" s="342"/>
      <c r="AD65" s="342"/>
      <c r="AE65" s="342"/>
    </row>
    <row r="66" spans="2:37" ht="13.8" thickBot="1" x14ac:dyDescent="0.25">
      <c r="K66" s="138"/>
      <c r="T66" s="93"/>
      <c r="U66" s="134"/>
    </row>
    <row r="67" spans="2:37" ht="31.2" customHeight="1" x14ac:dyDescent="0.2">
      <c r="B67" s="80" t="s">
        <v>380</v>
      </c>
      <c r="C67" s="145" t="b">
        <f>IF(D67&gt;=E67,TRUE,FALSE)</f>
        <v>0</v>
      </c>
      <c r="D67" s="146">
        <f>COUNTIF(H67:H72,TRUE)</f>
        <v>0</v>
      </c>
      <c r="E67" s="147">
        <v>3</v>
      </c>
      <c r="F67" s="63" t="s">
        <v>274</v>
      </c>
      <c r="G67" s="63" t="s">
        <v>275</v>
      </c>
      <c r="H67" s="118" t="b">
        <f>OR(K67&gt;=P67)</f>
        <v>0</v>
      </c>
      <c r="I67" s="65" t="str">
        <f>HLOOKUP(K67,M67:S68,2)</f>
        <v>F</v>
      </c>
      <c r="J67" s="63" t="s">
        <v>375</v>
      </c>
      <c r="K67" s="135">
        <f>'IN2'!F13</f>
        <v>0</v>
      </c>
      <c r="M67" s="5">
        <v>0</v>
      </c>
      <c r="N67" s="5">
        <v>0</v>
      </c>
      <c r="O67" s="5">
        <v>0</v>
      </c>
      <c r="P67" s="5">
        <v>1</v>
      </c>
      <c r="Q67" s="5">
        <v>2</v>
      </c>
      <c r="R67" s="5">
        <v>3</v>
      </c>
      <c r="S67" s="110">
        <v>4</v>
      </c>
      <c r="T67" s="93" t="s">
        <v>522</v>
      </c>
      <c r="U67" s="133" t="s">
        <v>505</v>
      </c>
      <c r="X67" t="s">
        <v>749</v>
      </c>
    </row>
    <row r="68" spans="2:37" ht="42.6" customHeight="1" x14ac:dyDescent="0.2">
      <c r="B68" s="81"/>
      <c r="C68" s="148"/>
      <c r="D68" s="149"/>
      <c r="E68" s="150"/>
      <c r="F68" s="5"/>
      <c r="G68" s="5"/>
      <c r="H68" s="5"/>
      <c r="I68" s="5"/>
      <c r="J68" s="72"/>
      <c r="K68" s="136"/>
      <c r="M68" s="84" t="s">
        <v>307</v>
      </c>
      <c r="N68" s="84" t="s">
        <v>297</v>
      </c>
      <c r="O68" s="84" t="s">
        <v>239</v>
      </c>
      <c r="P68" s="27" t="s">
        <v>59</v>
      </c>
      <c r="Q68" s="27" t="s">
        <v>237</v>
      </c>
      <c r="R68" s="27" t="s">
        <v>236</v>
      </c>
      <c r="S68" s="96" t="s">
        <v>234</v>
      </c>
      <c r="T68" s="93"/>
      <c r="U68" s="206">
        <v>1</v>
      </c>
      <c r="X68" s="341" t="s">
        <v>386</v>
      </c>
      <c r="Y68" s="341"/>
      <c r="Z68" s="341"/>
      <c r="AA68" s="341"/>
      <c r="AB68" s="341"/>
      <c r="AC68" s="341"/>
      <c r="AD68" s="341"/>
      <c r="AE68" s="341"/>
    </row>
    <row r="69" spans="2:37" ht="33.6" customHeight="1" x14ac:dyDescent="0.2">
      <c r="B69" s="81"/>
      <c r="C69" s="148"/>
      <c r="D69" s="149"/>
      <c r="E69" s="150"/>
      <c r="F69" s="5" t="s">
        <v>276</v>
      </c>
      <c r="G69" s="72" t="s">
        <v>382</v>
      </c>
      <c r="H69" s="4" t="b">
        <f>OR(K69&gt;=P69)</f>
        <v>0</v>
      </c>
      <c r="I69" s="12" t="str">
        <f>HLOOKUP(K69,M69:S70,2)</f>
        <v>F</v>
      </c>
      <c r="J69" s="5" t="s">
        <v>384</v>
      </c>
      <c r="K69" s="136">
        <f>W70</f>
        <v>0</v>
      </c>
      <c r="M69" s="5">
        <v>0</v>
      </c>
      <c r="N69" s="5">
        <v>0</v>
      </c>
      <c r="O69" s="5">
        <v>0</v>
      </c>
      <c r="P69" s="5">
        <v>3</v>
      </c>
      <c r="Q69" s="5">
        <v>5</v>
      </c>
      <c r="R69" s="5">
        <v>7</v>
      </c>
      <c r="S69" s="110">
        <v>9</v>
      </c>
      <c r="T69" s="93" t="s">
        <v>527</v>
      </c>
      <c r="U69" s="133" t="s">
        <v>505</v>
      </c>
      <c r="W69" s="93" t="s">
        <v>412</v>
      </c>
      <c r="X69" s="72" t="s">
        <v>259</v>
      </c>
      <c r="Y69" s="374" t="s">
        <v>751</v>
      </c>
      <c r="Z69" s="375"/>
      <c r="AA69" s="375"/>
      <c r="AB69" s="375"/>
      <c r="AC69" s="375"/>
      <c r="AD69" s="375"/>
      <c r="AE69" s="375"/>
      <c r="AF69" s="375"/>
      <c r="AG69" s="375"/>
    </row>
    <row r="70" spans="2:37" ht="28.8" customHeight="1" x14ac:dyDescent="0.2">
      <c r="B70" s="81"/>
      <c r="C70" s="148"/>
      <c r="D70" s="149"/>
      <c r="E70" s="150"/>
      <c r="F70" s="5"/>
      <c r="G70" s="72"/>
      <c r="H70" s="5"/>
      <c r="I70" s="5"/>
      <c r="J70" s="72" t="s">
        <v>383</v>
      </c>
      <c r="K70" s="136"/>
      <c r="M70" s="84" t="s">
        <v>307</v>
      </c>
      <c r="N70" s="84" t="s">
        <v>297</v>
      </c>
      <c r="O70" s="84" t="s">
        <v>239</v>
      </c>
      <c r="P70" s="27" t="s">
        <v>59</v>
      </c>
      <c r="Q70" s="27" t="s">
        <v>237</v>
      </c>
      <c r="R70" s="27" t="s">
        <v>236</v>
      </c>
      <c r="S70" s="96" t="s">
        <v>234</v>
      </c>
      <c r="T70" s="93"/>
      <c r="U70" s="206">
        <v>3</v>
      </c>
      <c r="W70" s="12">
        <f>SUM(X70)</f>
        <v>0</v>
      </c>
      <c r="X70" s="5">
        <f>INDEX('IN1'!$G$8:$G$220,MATCH(Check!X69,'IN1'!$C$8:$C$220,0))</f>
        <v>0</v>
      </c>
      <c r="Z70" s="104"/>
      <c r="AA70" s="104"/>
      <c r="AB70" s="104"/>
      <c r="AC70" s="104"/>
      <c r="AD70" s="104"/>
      <c r="AE70" s="104"/>
    </row>
    <row r="71" spans="2:37" ht="31.8" customHeight="1" x14ac:dyDescent="0.2">
      <c r="B71" s="81"/>
      <c r="C71" s="148"/>
      <c r="D71" s="149"/>
      <c r="E71" s="150"/>
      <c r="F71" s="5" t="s">
        <v>277</v>
      </c>
      <c r="G71" s="5" t="s">
        <v>385</v>
      </c>
      <c r="H71" s="4" t="b">
        <f>OR(K71&gt;=P71)</f>
        <v>0</v>
      </c>
      <c r="I71" s="12" t="str">
        <f>HLOOKUP(K71,M71:S72,2)</f>
        <v>F</v>
      </c>
      <c r="J71" s="5" t="s">
        <v>381</v>
      </c>
      <c r="K71" s="136">
        <f>W72</f>
        <v>0</v>
      </c>
      <c r="M71" s="5">
        <v>0</v>
      </c>
      <c r="N71" s="5">
        <v>0</v>
      </c>
      <c r="O71" s="5">
        <v>0</v>
      </c>
      <c r="P71" s="5">
        <v>1</v>
      </c>
      <c r="Q71" s="5">
        <v>2</v>
      </c>
      <c r="R71" s="5">
        <v>3</v>
      </c>
      <c r="S71" s="110">
        <v>4</v>
      </c>
      <c r="T71" s="93" t="s">
        <v>527</v>
      </c>
      <c r="U71" s="133" t="s">
        <v>505</v>
      </c>
      <c r="W71" s="93" t="s">
        <v>412</v>
      </c>
      <c r="X71" s="72" t="s">
        <v>528</v>
      </c>
      <c r="Z71" t="s">
        <v>520</v>
      </c>
    </row>
    <row r="72" spans="2:37" ht="34.200000000000003" customHeight="1" thickBot="1" x14ac:dyDescent="0.25">
      <c r="B72" s="82"/>
      <c r="C72" s="151"/>
      <c r="D72" s="152"/>
      <c r="E72" s="153"/>
      <c r="F72" s="67"/>
      <c r="G72" s="120" t="s">
        <v>517</v>
      </c>
      <c r="H72" s="67"/>
      <c r="I72" s="67"/>
      <c r="J72" s="120" t="s">
        <v>518</v>
      </c>
      <c r="K72" s="137"/>
      <c r="M72" s="84" t="s">
        <v>239</v>
      </c>
      <c r="N72" s="84" t="s">
        <v>239</v>
      </c>
      <c r="O72" s="84" t="s">
        <v>239</v>
      </c>
      <c r="P72" s="27" t="s">
        <v>234</v>
      </c>
      <c r="Q72" s="27" t="s">
        <v>234</v>
      </c>
      <c r="R72" s="27" t="s">
        <v>234</v>
      </c>
      <c r="S72" s="96" t="s">
        <v>234</v>
      </c>
      <c r="T72" s="93"/>
      <c r="U72" s="206">
        <v>1</v>
      </c>
      <c r="W72" s="12">
        <f>SUM(X72)</f>
        <v>0</v>
      </c>
      <c r="X72" s="5">
        <f>INDEX('IN1'!$G$8:$G$220,MATCH(Check!X71,'IN1'!$C$8:$C$220,0))</f>
        <v>0</v>
      </c>
      <c r="Y72" s="104"/>
      <c r="Z72" s="341" t="s">
        <v>519</v>
      </c>
      <c r="AA72" s="341"/>
      <c r="AB72" s="341"/>
      <c r="AC72" s="341"/>
      <c r="AD72" s="341"/>
      <c r="AE72" s="341"/>
    </row>
    <row r="73" spans="2:37" ht="13.8" thickBot="1" x14ac:dyDescent="0.25">
      <c r="K73" s="138"/>
      <c r="T73" s="93"/>
      <c r="U73" s="134"/>
    </row>
    <row r="74" spans="2:37" ht="26.4" x14ac:dyDescent="0.2">
      <c r="B74" s="80" t="s">
        <v>496</v>
      </c>
      <c r="C74" s="145" t="b">
        <f>IF(D74&gt;=E74,TRUE,FALSE)</f>
        <v>0</v>
      </c>
      <c r="D74" s="146">
        <f>COUNTIF(H74:H79,TRUE)</f>
        <v>0</v>
      </c>
      <c r="E74" s="304">
        <v>1</v>
      </c>
      <c r="F74" s="63" t="s">
        <v>278</v>
      </c>
      <c r="G74" s="121" t="s">
        <v>767</v>
      </c>
      <c r="H74" s="118" t="b">
        <f>OR(K74&gt;=P74)</f>
        <v>0</v>
      </c>
      <c r="I74" s="65" t="str">
        <f>HLOOKUP(K74,M74:S75,2)</f>
        <v>F</v>
      </c>
      <c r="J74" s="63" t="s">
        <v>381</v>
      </c>
      <c r="K74" s="135">
        <f>'IN2'!F14</f>
        <v>0</v>
      </c>
      <c r="M74" s="5">
        <v>0</v>
      </c>
      <c r="N74" s="5">
        <v>0</v>
      </c>
      <c r="O74" s="5">
        <v>0</v>
      </c>
      <c r="P74" s="5">
        <v>1</v>
      </c>
      <c r="Q74" s="5">
        <v>2</v>
      </c>
      <c r="R74" s="5">
        <v>3</v>
      </c>
      <c r="S74" s="110">
        <v>4</v>
      </c>
      <c r="T74" s="93" t="s">
        <v>522</v>
      </c>
      <c r="U74" s="302" t="s">
        <v>532</v>
      </c>
    </row>
    <row r="75" spans="2:37" ht="70.8" customHeight="1" x14ac:dyDescent="0.2">
      <c r="B75" s="81"/>
      <c r="C75" s="148"/>
      <c r="D75" s="149"/>
      <c r="E75" s="150"/>
      <c r="F75" s="5"/>
      <c r="G75" s="92" t="s">
        <v>392</v>
      </c>
      <c r="H75" s="5"/>
      <c r="I75" s="5"/>
      <c r="J75" s="103" t="s">
        <v>391</v>
      </c>
      <c r="K75" s="136"/>
      <c r="M75" s="84" t="s">
        <v>307</v>
      </c>
      <c r="N75" s="84" t="s">
        <v>297</v>
      </c>
      <c r="O75" s="84" t="s">
        <v>239</v>
      </c>
      <c r="P75" s="27" t="s">
        <v>59</v>
      </c>
      <c r="Q75" s="27" t="s">
        <v>237</v>
      </c>
      <c r="R75" s="27" t="s">
        <v>236</v>
      </c>
      <c r="S75" s="96" t="s">
        <v>234</v>
      </c>
      <c r="T75" s="93"/>
      <c r="U75" s="303">
        <v>0</v>
      </c>
      <c r="X75" s="342" t="s">
        <v>752</v>
      </c>
      <c r="Y75" s="342"/>
      <c r="Z75" s="342"/>
      <c r="AA75" s="342"/>
      <c r="AB75" s="342"/>
      <c r="AC75" s="342"/>
      <c r="AD75" s="342"/>
      <c r="AE75" s="342"/>
      <c r="AF75" s="342"/>
      <c r="AG75" s="342"/>
      <c r="AH75" s="342"/>
      <c r="AI75" s="342"/>
      <c r="AJ75" s="342"/>
      <c r="AK75" s="342"/>
    </row>
    <row r="76" spans="2:37" ht="39.6" x14ac:dyDescent="0.2">
      <c r="B76" s="81"/>
      <c r="C76" s="148"/>
      <c r="D76" s="149"/>
      <c r="E76" s="150"/>
      <c r="F76" s="5" t="s">
        <v>387</v>
      </c>
      <c r="G76" s="72" t="s">
        <v>766</v>
      </c>
      <c r="H76" s="4" t="b">
        <f>OR(K76&gt;=P76)</f>
        <v>0</v>
      </c>
      <c r="I76" s="12" t="str">
        <f>HLOOKUP(K76,M76:S77,2)</f>
        <v>F</v>
      </c>
      <c r="J76" s="127" t="s">
        <v>521</v>
      </c>
      <c r="K76" s="136">
        <f>W77</f>
        <v>0</v>
      </c>
      <c r="M76" s="5">
        <v>0</v>
      </c>
      <c r="N76" s="5">
        <v>0</v>
      </c>
      <c r="O76" s="5">
        <v>0</v>
      </c>
      <c r="P76" s="5">
        <v>1</v>
      </c>
      <c r="Q76" s="5">
        <v>3</v>
      </c>
      <c r="R76" s="5">
        <v>5</v>
      </c>
      <c r="S76" s="110">
        <v>7</v>
      </c>
      <c r="T76" s="93" t="s">
        <v>403</v>
      </c>
      <c r="U76" s="133" t="s">
        <v>532</v>
      </c>
      <c r="W76" s="93" t="s">
        <v>412</v>
      </c>
      <c r="X76" s="72" t="s">
        <v>393</v>
      </c>
      <c r="Y76" s="72" t="s">
        <v>394</v>
      </c>
    </row>
    <row r="77" spans="2:37" ht="30.6" customHeight="1" x14ac:dyDescent="0.2">
      <c r="B77" s="81"/>
      <c r="C77" s="148"/>
      <c r="D77" s="149"/>
      <c r="E77" s="150"/>
      <c r="F77" s="5"/>
      <c r="H77" s="5"/>
      <c r="I77" s="5"/>
      <c r="J77" s="112" t="s">
        <v>388</v>
      </c>
      <c r="K77" s="136"/>
      <c r="M77" s="84" t="s">
        <v>307</v>
      </c>
      <c r="N77" s="84" t="s">
        <v>297</v>
      </c>
      <c r="O77" s="84" t="s">
        <v>239</v>
      </c>
      <c r="P77" s="27" t="s">
        <v>59</v>
      </c>
      <c r="Q77" s="27" t="s">
        <v>237</v>
      </c>
      <c r="R77" s="27" t="s">
        <v>236</v>
      </c>
      <c r="S77" s="96" t="s">
        <v>234</v>
      </c>
      <c r="T77" s="93"/>
      <c r="U77" s="12">
        <v>0</v>
      </c>
      <c r="W77" s="12">
        <f>SUM(X77:Y77)</f>
        <v>0</v>
      </c>
      <c r="X77" s="5">
        <f>INDEX('IN1'!$G$8:$G$220,MATCH(Check!X76,'IN1'!$C$8:$C$220,0))</f>
        <v>0</v>
      </c>
      <c r="Y77" s="5">
        <f>INDEX('IN1'!$G$8:$G$220,MATCH(Check!Y76,'IN1'!$C$8:$C$220,0))</f>
        <v>0</v>
      </c>
    </row>
    <row r="78" spans="2:37" ht="26.4" x14ac:dyDescent="0.2">
      <c r="B78" s="81"/>
      <c r="C78" s="148"/>
      <c r="D78" s="149"/>
      <c r="E78" s="150"/>
      <c r="F78" s="5" t="s">
        <v>280</v>
      </c>
      <c r="G78" s="72" t="s">
        <v>389</v>
      </c>
      <c r="H78" s="4" t="b">
        <f>OR(K78&gt;=P78)</f>
        <v>0</v>
      </c>
      <c r="I78" s="12" t="str">
        <f>HLOOKUP(K78,M78:S79,2)</f>
        <v>F</v>
      </c>
      <c r="J78" s="72" t="s">
        <v>754</v>
      </c>
      <c r="K78" s="136">
        <f>'IN2'!F15</f>
        <v>0</v>
      </c>
      <c r="M78" s="5">
        <v>0</v>
      </c>
      <c r="N78" s="5">
        <v>0</v>
      </c>
      <c r="O78" s="5">
        <v>0</v>
      </c>
      <c r="P78" s="5">
        <v>1</v>
      </c>
      <c r="Q78" s="5">
        <v>2</v>
      </c>
      <c r="R78" s="5">
        <v>3</v>
      </c>
      <c r="S78" s="110">
        <v>4</v>
      </c>
      <c r="T78" s="93" t="s">
        <v>513</v>
      </c>
      <c r="U78" s="133" t="s">
        <v>505</v>
      </c>
    </row>
    <row r="79" spans="2:37" ht="72.599999999999994" thickBot="1" x14ac:dyDescent="0.25">
      <c r="B79" s="82"/>
      <c r="C79" s="151"/>
      <c r="D79" s="152"/>
      <c r="E79" s="153"/>
      <c r="F79" s="67"/>
      <c r="G79" s="157" t="s">
        <v>523</v>
      </c>
      <c r="H79" s="67"/>
      <c r="I79" s="67"/>
      <c r="J79" s="120" t="s">
        <v>390</v>
      </c>
      <c r="K79" s="137"/>
      <c r="M79" s="84" t="s">
        <v>307</v>
      </c>
      <c r="N79" s="84" t="s">
        <v>297</v>
      </c>
      <c r="O79" s="84" t="s">
        <v>239</v>
      </c>
      <c r="P79" s="27" t="s">
        <v>59</v>
      </c>
      <c r="Q79" s="27" t="s">
        <v>237</v>
      </c>
      <c r="R79" s="27" t="s">
        <v>236</v>
      </c>
      <c r="S79" s="96" t="s">
        <v>234</v>
      </c>
      <c r="T79" s="93"/>
      <c r="U79" s="206">
        <v>1</v>
      </c>
      <c r="X79" s="341" t="s">
        <v>395</v>
      </c>
      <c r="Y79" s="341"/>
      <c r="Z79" s="341"/>
      <c r="AA79" s="341"/>
      <c r="AB79" s="341"/>
      <c r="AC79" s="341"/>
      <c r="AD79" s="341"/>
      <c r="AE79" s="341"/>
    </row>
    <row r="80" spans="2:37" ht="13.8" thickBot="1" x14ac:dyDescent="0.25">
      <c r="K80" s="138"/>
      <c r="T80" s="93"/>
      <c r="U80" s="134"/>
    </row>
    <row r="81" spans="2:31" ht="26.4" x14ac:dyDescent="0.2">
      <c r="B81" s="80" t="s">
        <v>497</v>
      </c>
      <c r="C81" s="145" t="b">
        <f>IF(D81&gt;=E81,TRUE,FALSE)</f>
        <v>0</v>
      </c>
      <c r="D81" s="146">
        <f>COUNTIF(H81:H88,TRUE)</f>
        <v>0</v>
      </c>
      <c r="E81" s="147">
        <v>4</v>
      </c>
      <c r="F81" s="63" t="s">
        <v>613</v>
      </c>
      <c r="G81" s="63" t="s">
        <v>282</v>
      </c>
      <c r="H81" s="204" t="b">
        <f>OR(K81&gt;=P81)</f>
        <v>0</v>
      </c>
      <c r="I81" s="65" t="str">
        <f>HLOOKUP(K81,M81:S82,2)</f>
        <v>F</v>
      </c>
      <c r="J81" s="63" t="s">
        <v>396</v>
      </c>
      <c r="K81" s="135">
        <f>'IN2'!F16</f>
        <v>0</v>
      </c>
      <c r="M81" s="5">
        <v>0</v>
      </c>
      <c r="N81" s="5">
        <v>0</v>
      </c>
      <c r="O81" s="5">
        <v>0</v>
      </c>
      <c r="P81" s="5">
        <v>1</v>
      </c>
      <c r="Q81" s="5">
        <v>2</v>
      </c>
      <c r="R81" s="5">
        <v>3</v>
      </c>
      <c r="S81" s="110">
        <v>4</v>
      </c>
      <c r="T81" s="93" t="s">
        <v>524</v>
      </c>
      <c r="U81" s="133" t="s">
        <v>505</v>
      </c>
      <c r="X81" t="s">
        <v>753</v>
      </c>
    </row>
    <row r="82" spans="2:31" ht="64.2" customHeight="1" x14ac:dyDescent="0.2">
      <c r="B82" s="81"/>
      <c r="C82" s="148"/>
      <c r="D82" s="149"/>
      <c r="E82" s="150"/>
      <c r="F82" s="5"/>
      <c r="G82" s="72" t="s">
        <v>398</v>
      </c>
      <c r="H82" s="5"/>
      <c r="I82" s="5"/>
      <c r="J82" s="72" t="s">
        <v>397</v>
      </c>
      <c r="K82" s="136"/>
      <c r="M82" s="84" t="s">
        <v>307</v>
      </c>
      <c r="N82" s="84" t="s">
        <v>297</v>
      </c>
      <c r="O82" s="84" t="s">
        <v>239</v>
      </c>
      <c r="P82" s="27" t="s">
        <v>59</v>
      </c>
      <c r="Q82" s="27" t="s">
        <v>237</v>
      </c>
      <c r="R82" s="27" t="s">
        <v>236</v>
      </c>
      <c r="S82" s="96" t="s">
        <v>234</v>
      </c>
      <c r="T82" s="93"/>
      <c r="U82" s="206">
        <v>1</v>
      </c>
      <c r="X82" s="341" t="s">
        <v>399</v>
      </c>
      <c r="Y82" s="342"/>
      <c r="Z82" s="342"/>
      <c r="AA82" s="342"/>
      <c r="AB82" s="342"/>
      <c r="AC82" s="342"/>
      <c r="AD82" s="342"/>
      <c r="AE82" s="342"/>
    </row>
    <row r="83" spans="2:31" ht="26.4" x14ac:dyDescent="0.2">
      <c r="B83" s="81"/>
      <c r="C83" s="148"/>
      <c r="D83" s="149"/>
      <c r="E83" s="150"/>
      <c r="F83" s="5" t="s">
        <v>616</v>
      </c>
      <c r="G83" s="5" t="s">
        <v>401</v>
      </c>
      <c r="H83" s="200" t="b">
        <f>OR(K83&gt;=P83)</f>
        <v>0</v>
      </c>
      <c r="I83" s="203" t="str">
        <f>HLOOKUP(K83,M83:S84,2)</f>
        <v>F</v>
      </c>
      <c r="J83" s="5" t="s">
        <v>396</v>
      </c>
      <c r="K83" s="136">
        <f>'IN2'!F17</f>
        <v>0</v>
      </c>
      <c r="M83" s="5">
        <v>0</v>
      </c>
      <c r="N83" s="5">
        <v>0</v>
      </c>
      <c r="O83" s="5">
        <v>0</v>
      </c>
      <c r="P83" s="5">
        <v>1</v>
      </c>
      <c r="Q83" s="5">
        <v>2</v>
      </c>
      <c r="R83" s="5">
        <v>3</v>
      </c>
      <c r="S83" s="110">
        <v>4</v>
      </c>
      <c r="T83" s="93" t="s">
        <v>524</v>
      </c>
      <c r="U83" s="133" t="s">
        <v>505</v>
      </c>
      <c r="X83" t="s">
        <v>755</v>
      </c>
    </row>
    <row r="84" spans="2:31" ht="52.8" x14ac:dyDescent="0.2">
      <c r="B84" s="81"/>
      <c r="C84" s="148"/>
      <c r="D84" s="149"/>
      <c r="E84" s="150"/>
      <c r="F84" s="5"/>
      <c r="G84" s="72" t="s">
        <v>400</v>
      </c>
      <c r="H84" s="5"/>
      <c r="I84" s="5"/>
      <c r="J84" s="105" t="s">
        <v>626</v>
      </c>
      <c r="K84" s="136"/>
      <c r="M84" s="84" t="s">
        <v>307</v>
      </c>
      <c r="N84" s="84" t="s">
        <v>297</v>
      </c>
      <c r="O84" s="84" t="s">
        <v>239</v>
      </c>
      <c r="P84" s="27" t="s">
        <v>59</v>
      </c>
      <c r="Q84" s="27" t="s">
        <v>237</v>
      </c>
      <c r="R84" s="27" t="s">
        <v>236</v>
      </c>
      <c r="S84" s="96" t="s">
        <v>234</v>
      </c>
      <c r="T84" s="93"/>
      <c r="U84" s="206">
        <v>1</v>
      </c>
      <c r="X84" s="367" t="s">
        <v>756</v>
      </c>
      <c r="Y84" s="368"/>
      <c r="Z84" s="368"/>
      <c r="AA84" s="368"/>
      <c r="AB84" s="368"/>
      <c r="AC84" s="368"/>
      <c r="AD84" s="368"/>
      <c r="AE84" s="368"/>
    </row>
    <row r="85" spans="2:31" ht="26.4" x14ac:dyDescent="0.2">
      <c r="B85" s="81"/>
      <c r="C85" s="148"/>
      <c r="D85" s="149"/>
      <c r="E85" s="150"/>
      <c r="F85" s="5" t="s">
        <v>623</v>
      </c>
      <c r="G85" s="5" t="s">
        <v>624</v>
      </c>
      <c r="H85" s="200" t="b">
        <f>OR(K85&gt;=P85)</f>
        <v>0</v>
      </c>
      <c r="I85" s="203" t="str">
        <f>HLOOKUP(K85,M85:S86,2)</f>
        <v>F</v>
      </c>
      <c r="J85" s="5" t="s">
        <v>189</v>
      </c>
      <c r="K85" s="136">
        <f>W86</f>
        <v>0</v>
      </c>
      <c r="M85" s="5">
        <v>0</v>
      </c>
      <c r="N85" s="5">
        <v>0</v>
      </c>
      <c r="O85" s="5">
        <v>0</v>
      </c>
      <c r="P85" s="5">
        <v>2</v>
      </c>
      <c r="Q85" s="5">
        <v>4</v>
      </c>
      <c r="R85" s="5">
        <v>6</v>
      </c>
      <c r="S85" s="110">
        <v>8</v>
      </c>
      <c r="T85" s="93" t="s">
        <v>8</v>
      </c>
      <c r="U85" s="133" t="s">
        <v>505</v>
      </c>
      <c r="W85" s="93" t="s">
        <v>412</v>
      </c>
      <c r="X85" s="72" t="s">
        <v>402</v>
      </c>
      <c r="Y85" s="370" t="s">
        <v>525</v>
      </c>
      <c r="Z85" s="371"/>
      <c r="AA85" s="371"/>
      <c r="AB85" s="371"/>
      <c r="AC85" s="371"/>
      <c r="AD85" s="371"/>
      <c r="AE85" s="371"/>
    </row>
    <row r="86" spans="2:31" ht="51" customHeight="1" x14ac:dyDescent="0.2">
      <c r="B86" s="81"/>
      <c r="C86" s="148"/>
      <c r="D86" s="149"/>
      <c r="E86" s="150"/>
      <c r="F86" s="5"/>
      <c r="G86" s="72" t="s">
        <v>691</v>
      </c>
      <c r="H86" s="5"/>
      <c r="I86" s="5"/>
      <c r="J86" s="72" t="s">
        <v>690</v>
      </c>
      <c r="K86" s="136"/>
      <c r="M86" s="84" t="s">
        <v>307</v>
      </c>
      <c r="N86" s="84" t="s">
        <v>297</v>
      </c>
      <c r="O86" s="84" t="s">
        <v>239</v>
      </c>
      <c r="P86" s="202" t="s">
        <v>59</v>
      </c>
      <c r="Q86" s="202" t="s">
        <v>237</v>
      </c>
      <c r="R86" s="202" t="s">
        <v>236</v>
      </c>
      <c r="S86" s="199" t="s">
        <v>234</v>
      </c>
      <c r="T86" s="93"/>
      <c r="U86" s="203">
        <v>2</v>
      </c>
      <c r="W86" s="93">
        <f>SUM(X86)</f>
        <v>0</v>
      </c>
      <c r="X86" s="72">
        <f>INDEX('IN1'!$G$8:$G$220,MATCH(Check!X85,'IN1'!$C$8:$C$220,0))</f>
        <v>0</v>
      </c>
      <c r="Y86" s="372" t="s">
        <v>526</v>
      </c>
      <c r="Z86" s="373"/>
      <c r="AA86" s="373"/>
      <c r="AB86" s="373"/>
      <c r="AC86" s="373"/>
      <c r="AD86" s="373"/>
      <c r="AE86" s="373"/>
    </row>
    <row r="87" spans="2:31" ht="31.2" customHeight="1" x14ac:dyDescent="0.2">
      <c r="B87" s="81"/>
      <c r="C87" s="148"/>
      <c r="D87" s="149"/>
      <c r="E87" s="150"/>
      <c r="F87" s="216" t="s">
        <v>283</v>
      </c>
      <c r="G87" s="216" t="s">
        <v>622</v>
      </c>
      <c r="H87" s="217" t="b">
        <f>OR(K87&gt;=P87)</f>
        <v>0</v>
      </c>
      <c r="I87" s="218" t="str">
        <f>HLOOKUP(K87,M87:S88,2)</f>
        <v>F</v>
      </c>
      <c r="J87" s="216" t="s">
        <v>396</v>
      </c>
      <c r="K87" s="219">
        <f>'IN2'!F18</f>
        <v>0</v>
      </c>
      <c r="M87" s="5">
        <v>0</v>
      </c>
      <c r="N87" s="5">
        <v>0</v>
      </c>
      <c r="O87" s="5">
        <v>0</v>
      </c>
      <c r="P87" s="5">
        <v>2</v>
      </c>
      <c r="Q87" s="5">
        <v>4</v>
      </c>
      <c r="R87" s="5">
        <v>6</v>
      </c>
      <c r="S87" s="110">
        <v>8</v>
      </c>
      <c r="T87" s="93" t="s">
        <v>524</v>
      </c>
      <c r="U87" s="133" t="s">
        <v>505</v>
      </c>
      <c r="W87"/>
      <c r="X87" t="s">
        <v>757</v>
      </c>
    </row>
    <row r="88" spans="2:31" ht="51" customHeight="1" thickBot="1" x14ac:dyDescent="0.25">
      <c r="B88" s="82"/>
      <c r="C88" s="151"/>
      <c r="D88" s="152"/>
      <c r="E88" s="153"/>
      <c r="F88" s="67"/>
      <c r="G88" s="120" t="s">
        <v>689</v>
      </c>
      <c r="H88" s="67"/>
      <c r="I88" s="67"/>
      <c r="J88" s="220" t="s">
        <v>625</v>
      </c>
      <c r="K88" s="137"/>
      <c r="M88" s="84" t="s">
        <v>307</v>
      </c>
      <c r="N88" s="84" t="s">
        <v>297</v>
      </c>
      <c r="O88" s="84" t="s">
        <v>239</v>
      </c>
      <c r="P88" s="27" t="s">
        <v>59</v>
      </c>
      <c r="Q88" s="27" t="s">
        <v>237</v>
      </c>
      <c r="R88" s="27" t="s">
        <v>236</v>
      </c>
      <c r="S88" s="96" t="s">
        <v>234</v>
      </c>
      <c r="T88" s="93"/>
      <c r="U88" s="206">
        <v>1</v>
      </c>
      <c r="W88"/>
      <c r="X88" s="367" t="s">
        <v>632</v>
      </c>
      <c r="Y88" s="368"/>
      <c r="Z88" s="368"/>
      <c r="AA88" s="368"/>
      <c r="AB88" s="368"/>
      <c r="AC88" s="368"/>
      <c r="AD88" s="368"/>
      <c r="AE88" s="368"/>
    </row>
    <row r="89" spans="2:31" ht="55.2" customHeight="1" x14ac:dyDescent="0.2">
      <c r="X89" s="341"/>
      <c r="Y89" s="341"/>
      <c r="Z89" s="341"/>
      <c r="AA89" s="341"/>
      <c r="AB89" s="341"/>
      <c r="AC89" s="341"/>
      <c r="AD89" s="341"/>
      <c r="AE89" s="341"/>
    </row>
    <row r="91" spans="2:31" x14ac:dyDescent="0.2">
      <c r="X91" s="158"/>
      <c r="Y91" s="159"/>
    </row>
  </sheetData>
  <sheetProtection sheet="1" objects="1" scenarios="1" selectLockedCells="1"/>
  <mergeCells count="35">
    <mergeCell ref="X89:AE89"/>
    <mergeCell ref="M3:S3"/>
    <mergeCell ref="X56:AE56"/>
    <mergeCell ref="X63:AE63"/>
    <mergeCell ref="X65:AE65"/>
    <mergeCell ref="X68:AE68"/>
    <mergeCell ref="X49:AE49"/>
    <mergeCell ref="X3:AK3"/>
    <mergeCell ref="Z72:AE72"/>
    <mergeCell ref="X79:AE79"/>
    <mergeCell ref="X82:AE82"/>
    <mergeCell ref="X84:AE84"/>
    <mergeCell ref="Y85:AE85"/>
    <mergeCell ref="Y86:AE86"/>
    <mergeCell ref="X88:AE88"/>
    <mergeCell ref="Y69:AG69"/>
    <mergeCell ref="B19:B32"/>
    <mergeCell ref="C19:C32"/>
    <mergeCell ref="D19:D32"/>
    <mergeCell ref="E19:E32"/>
    <mergeCell ref="B34:B47"/>
    <mergeCell ref="C5:C12"/>
    <mergeCell ref="B5:B12"/>
    <mergeCell ref="D5:D12"/>
    <mergeCell ref="E5:E12"/>
    <mergeCell ref="B14:B17"/>
    <mergeCell ref="C14:C17"/>
    <mergeCell ref="D14:D17"/>
    <mergeCell ref="E14:E17"/>
    <mergeCell ref="AB58:AI58"/>
    <mergeCell ref="X75:AK75"/>
    <mergeCell ref="C34:C47"/>
    <mergeCell ref="D34:D47"/>
    <mergeCell ref="E34:E47"/>
    <mergeCell ref="X55:AE55"/>
  </mergeCells>
  <phoneticPr fontId="3"/>
  <conditionalFormatting sqref="C81 H81 H83 H87 H78 H71 H74 H76 C74 H69 C60 H60 H62 H64 H67 C67 H57 H55 H44 H27 H25 H23 H19:H21 H14:H16 H7:H11 H5 C19 C14 C5 H29 H31 H34 H36 H38 H40 H42 C34 H46 H49 H53 H51 C49 H85">
    <cfRule type="containsText" dxfId="4" priority="60" operator="containsText" text="FALSE">
      <formula>NOT(ISERROR(SEARCH("FALSE",C5)))</formula>
    </cfRule>
  </conditionalFormatting>
  <pageMargins left="0.7" right="0.7" top="0.75" bottom="0.75" header="0.3" footer="0.3"/>
  <pageSetup paperSize="9" scale="92" fitToWidth="0" fitToHeight="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51"/>
  <sheetViews>
    <sheetView showGridLines="0" showRowColHeaders="0" view="pageBreakPreview" topLeftCell="A16" zoomScale="90" zoomScaleNormal="100" zoomScaleSheetLayoutView="90" workbookViewId="0">
      <selection activeCell="J29" sqref="J29"/>
    </sheetView>
  </sheetViews>
  <sheetFormatPr defaultRowHeight="13.2" x14ac:dyDescent="0.2"/>
  <cols>
    <col min="1" max="1" width="1" customWidth="1"/>
    <col min="2" max="2" width="7.6640625" style="54" customWidth="1"/>
    <col min="3" max="3" width="42.77734375" customWidth="1"/>
    <col min="4" max="4" width="15.44140625" customWidth="1"/>
    <col min="5" max="5" width="6.77734375" customWidth="1"/>
    <col min="6" max="6" width="5.21875" customWidth="1"/>
    <col min="7" max="7" width="6.109375" style="10" customWidth="1"/>
    <col min="8" max="9" width="6.6640625" customWidth="1"/>
    <col min="10" max="10" width="6.5546875" customWidth="1"/>
  </cols>
  <sheetData>
    <row r="1" spans="2:8" ht="18" customHeight="1" x14ac:dyDescent="0.2">
      <c r="B1" s="277"/>
      <c r="C1" s="278" t="s">
        <v>589</v>
      </c>
      <c r="D1" s="252"/>
      <c r="E1" s="252"/>
      <c r="F1" s="49" t="s">
        <v>541</v>
      </c>
      <c r="G1" s="212" t="str">
        <f>ID!C12</f>
        <v>2018.4.10</v>
      </c>
      <c r="H1" s="193"/>
    </row>
    <row r="2" spans="2:8" ht="15" customHeight="1" x14ac:dyDescent="0.2">
      <c r="C2" s="171"/>
      <c r="F2" s="49" t="s">
        <v>609</v>
      </c>
      <c r="G2" s="393">
        <f ca="1">TODAY()</f>
        <v>43500</v>
      </c>
      <c r="H2" s="393"/>
    </row>
    <row r="3" spans="2:8" ht="16.2" customHeight="1" x14ac:dyDescent="0.2">
      <c r="B3" s="196" t="s">
        <v>610</v>
      </c>
      <c r="C3" s="213" t="str">
        <f>CONCATENATE(ID!C4," (",ID!C6,") 　",ID!C3," 年度入学")</f>
        <v>明治　紫紺 (153RXXXXX) 　2015 年度入学</v>
      </c>
      <c r="D3" s="214" t="str">
        <f>CONCATENATE(ID!C8,"年",ID!C9,"組",ID!C10,"番")</f>
        <v>1年5組100番</v>
      </c>
      <c r="F3" s="215" t="str">
        <f>IF(ID!C19&lt;&gt;"",ID!B19,ID!B18)</f>
        <v>指導教員</v>
      </c>
      <c r="G3" s="10" t="str">
        <f>IF(ID!C19&lt;&gt;"",ID!C19,ID!C18)</f>
        <v>機械　指導</v>
      </c>
    </row>
    <row r="4" spans="2:8" ht="6" customHeight="1" x14ac:dyDescent="0.2"/>
    <row r="5" spans="2:8" ht="30.6" customHeight="1" x14ac:dyDescent="0.2">
      <c r="B5" s="186" t="s">
        <v>602</v>
      </c>
      <c r="C5" s="184" t="s">
        <v>559</v>
      </c>
      <c r="D5" s="126" t="s">
        <v>254</v>
      </c>
      <c r="E5" s="167" t="s">
        <v>597</v>
      </c>
      <c r="F5" s="5" t="s">
        <v>586</v>
      </c>
      <c r="G5" s="176" t="s">
        <v>585</v>
      </c>
      <c r="H5" s="93" t="s">
        <v>606</v>
      </c>
    </row>
    <row r="6" spans="2:8" ht="16.2" customHeight="1" x14ac:dyDescent="0.2">
      <c r="B6" s="379" t="s">
        <v>600</v>
      </c>
      <c r="C6" s="385" t="s">
        <v>733</v>
      </c>
      <c r="D6" s="76" t="s">
        <v>560</v>
      </c>
      <c r="E6" s="187">
        <f>Check!K5</f>
        <v>0</v>
      </c>
      <c r="F6" s="187" t="str">
        <f>Check!I5</f>
        <v>H</v>
      </c>
      <c r="G6" s="125" t="b">
        <f>Check!H5</f>
        <v>0</v>
      </c>
      <c r="H6" s="382" t="b">
        <f>OR(COUNTIF(G6:G8,"TRUE")&gt;=3)</f>
        <v>0</v>
      </c>
    </row>
    <row r="7" spans="2:8" ht="16.2" customHeight="1" x14ac:dyDescent="0.2">
      <c r="B7" s="380"/>
      <c r="C7" s="386"/>
      <c r="D7" s="76" t="s">
        <v>561</v>
      </c>
      <c r="E7" s="187">
        <f>Check!K7</f>
        <v>0</v>
      </c>
      <c r="F7" s="187" t="str">
        <f>Check!I7</f>
        <v>H</v>
      </c>
      <c r="G7" s="125" t="b">
        <f>Check!H7</f>
        <v>0</v>
      </c>
      <c r="H7" s="383"/>
    </row>
    <row r="8" spans="2:8" ht="16.2" customHeight="1" x14ac:dyDescent="0.2">
      <c r="B8" s="380"/>
      <c r="C8" s="386"/>
      <c r="D8" s="211" t="s">
        <v>584</v>
      </c>
      <c r="E8" s="187">
        <f>Check!K9</f>
        <v>0</v>
      </c>
      <c r="F8" s="187" t="str">
        <f>Check!I9</f>
        <v>H</v>
      </c>
      <c r="G8" s="125" t="b">
        <f>Check!H9</f>
        <v>0</v>
      </c>
      <c r="H8" s="383"/>
    </row>
    <row r="9" spans="2:8" ht="16.2" customHeight="1" x14ac:dyDescent="0.2">
      <c r="B9" s="380"/>
      <c r="C9" s="387"/>
      <c r="D9" s="76" t="s">
        <v>587</v>
      </c>
      <c r="E9" s="187">
        <f>Check!K11</f>
        <v>0</v>
      </c>
      <c r="F9" s="187" t="str">
        <f>Check!I11</f>
        <v>H</v>
      </c>
      <c r="G9" s="125" t="b">
        <f>Check!H11</f>
        <v>0</v>
      </c>
      <c r="H9" s="384"/>
    </row>
    <row r="10" spans="2:8" ht="16.2" customHeight="1" x14ac:dyDescent="0.2">
      <c r="B10" s="380"/>
      <c r="C10" s="385" t="s">
        <v>734</v>
      </c>
      <c r="D10" s="76" t="s">
        <v>562</v>
      </c>
      <c r="E10" s="187">
        <f>Check!K14</f>
        <v>0</v>
      </c>
      <c r="F10" s="187" t="str">
        <f>Check!I14</f>
        <v>F</v>
      </c>
      <c r="G10" s="125" t="b">
        <f>Check!H14</f>
        <v>0</v>
      </c>
      <c r="H10" s="382" t="b">
        <f>OR(COUNTIF(G10,"TRUE")&gt;=1)</f>
        <v>0</v>
      </c>
    </row>
    <row r="11" spans="2:8" ht="27" customHeight="1" x14ac:dyDescent="0.2">
      <c r="B11" s="381"/>
      <c r="C11" s="387"/>
      <c r="D11" s="76" t="s">
        <v>588</v>
      </c>
      <c r="E11" s="187">
        <f>Check!K16</f>
        <v>0</v>
      </c>
      <c r="F11" s="187" t="str">
        <f>Check!I16</f>
        <v>G</v>
      </c>
      <c r="G11" s="125" t="b">
        <f>Check!H16</f>
        <v>0</v>
      </c>
      <c r="H11" s="384"/>
    </row>
    <row r="12" spans="2:8" ht="15.6" customHeight="1" x14ac:dyDescent="0.2">
      <c r="B12" s="376" t="s">
        <v>601</v>
      </c>
      <c r="C12" s="385" t="s">
        <v>735</v>
      </c>
      <c r="D12" s="76" t="s">
        <v>563</v>
      </c>
      <c r="E12" s="187">
        <f>Check!K19</f>
        <v>0</v>
      </c>
      <c r="F12" s="187" t="str">
        <f>Check!I19</f>
        <v>H</v>
      </c>
      <c r="G12" s="125" t="b">
        <f>Check!H19</f>
        <v>0</v>
      </c>
      <c r="H12" s="382" t="b">
        <f>OR(COUNTIF(G12:G17,"TRUE")&gt;=6)</f>
        <v>0</v>
      </c>
    </row>
    <row r="13" spans="2:8" ht="15.6" customHeight="1" x14ac:dyDescent="0.2">
      <c r="B13" s="377"/>
      <c r="C13" s="386"/>
      <c r="D13" s="76" t="s">
        <v>564</v>
      </c>
      <c r="E13" s="187">
        <f>Check!K21</f>
        <v>0</v>
      </c>
      <c r="F13" s="187" t="str">
        <f>Check!I21</f>
        <v>H</v>
      </c>
      <c r="G13" s="125" t="b">
        <f>Check!H21</f>
        <v>0</v>
      </c>
      <c r="H13" s="383"/>
    </row>
    <row r="14" spans="2:8" ht="15.6" customHeight="1" x14ac:dyDescent="0.2">
      <c r="B14" s="377"/>
      <c r="C14" s="386"/>
      <c r="D14" s="76" t="s">
        <v>565</v>
      </c>
      <c r="E14" s="187">
        <f>Check!K23</f>
        <v>0</v>
      </c>
      <c r="F14" s="187" t="str">
        <f>Check!I23</f>
        <v>H</v>
      </c>
      <c r="G14" s="125" t="b">
        <f>Check!H23</f>
        <v>0</v>
      </c>
      <c r="H14" s="383"/>
    </row>
    <row r="15" spans="2:8" ht="15.6" customHeight="1" x14ac:dyDescent="0.2">
      <c r="B15" s="377"/>
      <c r="C15" s="386"/>
      <c r="D15" s="76" t="s">
        <v>566</v>
      </c>
      <c r="E15" s="187">
        <f>Check!K25</f>
        <v>0</v>
      </c>
      <c r="F15" s="187" t="str">
        <f>Check!I25</f>
        <v>F</v>
      </c>
      <c r="G15" s="125" t="b">
        <f>Check!H25</f>
        <v>0</v>
      </c>
      <c r="H15" s="383"/>
    </row>
    <row r="16" spans="2:8" ht="15.6" customHeight="1" x14ac:dyDescent="0.2">
      <c r="B16" s="377"/>
      <c r="C16" s="386"/>
      <c r="D16" s="76" t="s">
        <v>567</v>
      </c>
      <c r="E16" s="187">
        <f>Check!K27</f>
        <v>0</v>
      </c>
      <c r="F16" s="187" t="str">
        <f>Check!I27</f>
        <v>G</v>
      </c>
      <c r="G16" s="125" t="b">
        <f>Check!H27</f>
        <v>0</v>
      </c>
      <c r="H16" s="383"/>
    </row>
    <row r="17" spans="2:8" ht="15.6" customHeight="1" x14ac:dyDescent="0.2">
      <c r="B17" s="377"/>
      <c r="C17" s="386"/>
      <c r="D17" s="76" t="s">
        <v>568</v>
      </c>
      <c r="E17" s="187">
        <f>Check!K29</f>
        <v>0</v>
      </c>
      <c r="F17" s="187" t="str">
        <f>Check!I29</f>
        <v>H</v>
      </c>
      <c r="G17" s="125" t="b">
        <f>Check!H29</f>
        <v>0</v>
      </c>
      <c r="H17" s="383"/>
    </row>
    <row r="18" spans="2:8" ht="15.6" customHeight="1" x14ac:dyDescent="0.2">
      <c r="B18" s="377"/>
      <c r="C18" s="387"/>
      <c r="D18" s="76" t="s">
        <v>590</v>
      </c>
      <c r="E18" s="187">
        <f>Check!K31</f>
        <v>0</v>
      </c>
      <c r="F18" s="187" t="str">
        <f>Check!I31</f>
        <v>H</v>
      </c>
      <c r="G18" s="125" t="b">
        <f>Check!H31</f>
        <v>0</v>
      </c>
      <c r="H18" s="384"/>
    </row>
    <row r="19" spans="2:8" ht="15.6" customHeight="1" x14ac:dyDescent="0.2">
      <c r="B19" s="377"/>
      <c r="C19" s="385" t="s">
        <v>736</v>
      </c>
      <c r="D19" s="76" t="s">
        <v>569</v>
      </c>
      <c r="E19" s="187">
        <f>Check!K34</f>
        <v>0</v>
      </c>
      <c r="F19" s="187" t="str">
        <f>Check!I34</f>
        <v>H</v>
      </c>
      <c r="G19" s="125" t="b">
        <f>Check!H34</f>
        <v>0</v>
      </c>
      <c r="H19" s="382" t="b">
        <f>OR(COUNTIF(G19:G25,"TRUE")&gt;=7)</f>
        <v>0</v>
      </c>
    </row>
    <row r="20" spans="2:8" ht="15.6" customHeight="1" x14ac:dyDescent="0.2">
      <c r="B20" s="377"/>
      <c r="C20" s="386"/>
      <c r="D20" s="76" t="s">
        <v>570</v>
      </c>
      <c r="E20" s="187">
        <f>Check!K36</f>
        <v>0</v>
      </c>
      <c r="F20" s="187" t="str">
        <f>Check!I36</f>
        <v>H</v>
      </c>
      <c r="G20" s="125" t="b">
        <f>Check!H36</f>
        <v>0</v>
      </c>
      <c r="H20" s="383"/>
    </row>
    <row r="21" spans="2:8" ht="15.6" customHeight="1" x14ac:dyDescent="0.2">
      <c r="B21" s="377"/>
      <c r="C21" s="386"/>
      <c r="D21" s="76" t="s">
        <v>581</v>
      </c>
      <c r="E21" s="187">
        <f>Check!K38</f>
        <v>0</v>
      </c>
      <c r="F21" s="187" t="str">
        <f>Check!I38</f>
        <v>H</v>
      </c>
      <c r="G21" s="125" t="b">
        <f>Check!H38</f>
        <v>0</v>
      </c>
      <c r="H21" s="383"/>
    </row>
    <row r="22" spans="2:8" ht="15.6" customHeight="1" x14ac:dyDescent="0.2">
      <c r="B22" s="377"/>
      <c r="C22" s="386"/>
      <c r="D22" s="76" t="s">
        <v>571</v>
      </c>
      <c r="E22" s="187">
        <f>Check!K40</f>
        <v>0</v>
      </c>
      <c r="F22" s="187" t="str">
        <f>Check!I40</f>
        <v>H</v>
      </c>
      <c r="G22" s="125" t="b">
        <f>Check!H40</f>
        <v>0</v>
      </c>
      <c r="H22" s="383"/>
    </row>
    <row r="23" spans="2:8" ht="15.6" customHeight="1" x14ac:dyDescent="0.2">
      <c r="B23" s="377"/>
      <c r="C23" s="386"/>
      <c r="D23" s="76" t="s">
        <v>572</v>
      </c>
      <c r="E23" s="187">
        <f>Check!K42</f>
        <v>0</v>
      </c>
      <c r="F23" s="187" t="str">
        <f>Check!I42</f>
        <v>F</v>
      </c>
      <c r="G23" s="125" t="b">
        <f>Check!H42</f>
        <v>0</v>
      </c>
      <c r="H23" s="383"/>
    </row>
    <row r="24" spans="2:8" ht="15.6" customHeight="1" x14ac:dyDescent="0.2">
      <c r="B24" s="377"/>
      <c r="C24" s="386"/>
      <c r="D24" s="76" t="s">
        <v>582</v>
      </c>
      <c r="E24" s="187">
        <f>Check!K44</f>
        <v>0</v>
      </c>
      <c r="F24" s="187" t="str">
        <f>Check!I44</f>
        <v>F</v>
      </c>
      <c r="G24" s="125" t="b">
        <f>Check!H44</f>
        <v>0</v>
      </c>
      <c r="H24" s="383"/>
    </row>
    <row r="25" spans="2:8" ht="15.6" customHeight="1" x14ac:dyDescent="0.2">
      <c r="B25" s="378"/>
      <c r="C25" s="387"/>
      <c r="D25" s="76" t="s">
        <v>573</v>
      </c>
      <c r="E25" s="187">
        <f>Check!K46</f>
        <v>0</v>
      </c>
      <c r="F25" s="187" t="str">
        <f>Check!I46</f>
        <v>F</v>
      </c>
      <c r="G25" s="125" t="b">
        <f>Check!H46</f>
        <v>0</v>
      </c>
      <c r="H25" s="384"/>
    </row>
    <row r="26" spans="2:8" ht="15.6" customHeight="1" x14ac:dyDescent="0.2">
      <c r="B26" s="376" t="s">
        <v>599</v>
      </c>
      <c r="C26" s="385" t="s">
        <v>737</v>
      </c>
      <c r="D26" s="190" t="s">
        <v>574</v>
      </c>
      <c r="E26" s="188">
        <f>Check!K49</f>
        <v>0</v>
      </c>
      <c r="F26" s="187" t="str">
        <f>Check!I49</f>
        <v>H</v>
      </c>
      <c r="G26" s="125" t="b">
        <f>Check!H49</f>
        <v>0</v>
      </c>
      <c r="H26" s="382" t="b">
        <f>OR(COUNTIF(G26:G27:G29,"TRUE")&gt;=3)</f>
        <v>0</v>
      </c>
    </row>
    <row r="27" spans="2:8" ht="15.6" customHeight="1" x14ac:dyDescent="0.2">
      <c r="B27" s="377"/>
      <c r="C27" s="386"/>
      <c r="D27" s="190" t="s">
        <v>592</v>
      </c>
      <c r="E27" s="187">
        <f>Check!K51</f>
        <v>0</v>
      </c>
      <c r="F27" s="187" t="str">
        <f>Check!I51</f>
        <v>H</v>
      </c>
      <c r="G27" s="125" t="b">
        <f>Check!H51</f>
        <v>0</v>
      </c>
      <c r="H27" s="383"/>
    </row>
    <row r="28" spans="2:8" ht="15.6" customHeight="1" x14ac:dyDescent="0.2">
      <c r="B28" s="377"/>
      <c r="C28" s="386"/>
      <c r="D28" s="190" t="s">
        <v>591</v>
      </c>
      <c r="E28" s="187">
        <f>Check!K53</f>
        <v>1</v>
      </c>
      <c r="F28" s="187" t="str">
        <f>Check!I53</f>
        <v>H</v>
      </c>
      <c r="G28" s="125" t="b">
        <f>Check!H53</f>
        <v>0</v>
      </c>
      <c r="H28" s="383"/>
    </row>
    <row r="29" spans="2:8" ht="15.6" customHeight="1" x14ac:dyDescent="0.2">
      <c r="B29" s="377"/>
      <c r="C29" s="386"/>
      <c r="D29" s="190" t="s">
        <v>593</v>
      </c>
      <c r="E29" s="187">
        <f>Check!K55</f>
        <v>0</v>
      </c>
      <c r="F29" s="187" t="str">
        <f>Check!I55</f>
        <v>F</v>
      </c>
      <c r="G29" s="125" t="b">
        <f>Check!H55</f>
        <v>0</v>
      </c>
      <c r="H29" s="383"/>
    </row>
    <row r="30" spans="2:8" ht="15.6" customHeight="1" x14ac:dyDescent="0.2">
      <c r="B30" s="377"/>
      <c r="C30" s="387"/>
      <c r="D30" s="190" t="s">
        <v>594</v>
      </c>
      <c r="E30" s="187">
        <f>Check!K57</f>
        <v>0</v>
      </c>
      <c r="F30" s="187" t="str">
        <f>Check!I57</f>
        <v>F</v>
      </c>
      <c r="G30" s="125" t="b">
        <f>Check!H57</f>
        <v>0</v>
      </c>
      <c r="H30" s="384"/>
    </row>
    <row r="31" spans="2:8" ht="16.2" customHeight="1" x14ac:dyDescent="0.2">
      <c r="B31" s="377"/>
      <c r="C31" s="394" t="s">
        <v>738</v>
      </c>
      <c r="D31" s="191" t="s">
        <v>575</v>
      </c>
      <c r="E31" s="187">
        <f>Check!K60</f>
        <v>0</v>
      </c>
      <c r="F31" s="187" t="str">
        <f>Check!I60</f>
        <v>H</v>
      </c>
      <c r="G31" s="125" t="b">
        <f>Check!H60</f>
        <v>0</v>
      </c>
      <c r="H31" s="382" t="b">
        <f>OR(COUNTIF(G31:G33,"TRUE")&gt;=3)</f>
        <v>0</v>
      </c>
    </row>
    <row r="32" spans="2:8" ht="16.2" customHeight="1" x14ac:dyDescent="0.2">
      <c r="B32" s="377"/>
      <c r="C32" s="395"/>
      <c r="D32" s="191" t="s">
        <v>576</v>
      </c>
      <c r="E32" s="187">
        <f>Check!K62</f>
        <v>0</v>
      </c>
      <c r="F32" s="187" t="str">
        <f>Check!I62</f>
        <v>F</v>
      </c>
      <c r="G32" s="125" t="b">
        <f>Check!H62</f>
        <v>0</v>
      </c>
      <c r="H32" s="383"/>
    </row>
    <row r="33" spans="2:8" ht="16.2" customHeight="1" x14ac:dyDescent="0.2">
      <c r="B33" s="377"/>
      <c r="C33" s="396"/>
      <c r="D33" s="191" t="s">
        <v>577</v>
      </c>
      <c r="E33" s="187">
        <f>Check!K64</f>
        <v>0</v>
      </c>
      <c r="F33" s="187" t="str">
        <f>Check!I64</f>
        <v>F</v>
      </c>
      <c r="G33" s="125" t="b">
        <f>Check!H64</f>
        <v>0</v>
      </c>
      <c r="H33" s="384"/>
    </row>
    <row r="34" spans="2:8" ht="15.6" customHeight="1" x14ac:dyDescent="0.2">
      <c r="B34" s="377"/>
      <c r="C34" s="394" t="s">
        <v>739</v>
      </c>
      <c r="D34" s="191" t="s">
        <v>578</v>
      </c>
      <c r="E34" s="187">
        <f>Check!K67</f>
        <v>0</v>
      </c>
      <c r="F34" s="187" t="str">
        <f>Check!I67</f>
        <v>F</v>
      </c>
      <c r="G34" s="125" t="b">
        <f>Check!H67</f>
        <v>0</v>
      </c>
      <c r="H34" s="382" t="b">
        <f>OR(COUNTIF(G34:G36,"TRUE")&gt;=3)</f>
        <v>0</v>
      </c>
    </row>
    <row r="35" spans="2:8" ht="15.6" customHeight="1" x14ac:dyDescent="0.2">
      <c r="B35" s="377"/>
      <c r="C35" s="395"/>
      <c r="D35" s="191" t="s">
        <v>579</v>
      </c>
      <c r="E35" s="187">
        <f>Check!K69</f>
        <v>0</v>
      </c>
      <c r="F35" s="187" t="str">
        <f>Check!I69</f>
        <v>F</v>
      </c>
      <c r="G35" s="125" t="b">
        <f>Check!H69</f>
        <v>0</v>
      </c>
      <c r="H35" s="383"/>
    </row>
    <row r="36" spans="2:8" ht="15.6" customHeight="1" x14ac:dyDescent="0.2">
      <c r="B36" s="377"/>
      <c r="C36" s="396"/>
      <c r="D36" s="191" t="s">
        <v>595</v>
      </c>
      <c r="E36" s="187">
        <f>Check!K71</f>
        <v>0</v>
      </c>
      <c r="F36" s="187" t="str">
        <f>Check!I71</f>
        <v>F</v>
      </c>
      <c r="G36" s="125" t="b">
        <f>Check!H71</f>
        <v>0</v>
      </c>
      <c r="H36" s="384"/>
    </row>
    <row r="37" spans="2:8" ht="15.6" customHeight="1" x14ac:dyDescent="0.2">
      <c r="B37" s="377"/>
      <c r="C37" s="397" t="s">
        <v>740</v>
      </c>
      <c r="D37" s="76" t="s">
        <v>583</v>
      </c>
      <c r="E37" s="187">
        <f>Check!K74</f>
        <v>0</v>
      </c>
      <c r="F37" s="187" t="str">
        <f>Check!I74</f>
        <v>F</v>
      </c>
      <c r="G37" s="125" t="b">
        <f>Check!H74</f>
        <v>0</v>
      </c>
      <c r="H37" s="382" t="b">
        <f>OR(COUNTIF(G37:G39,"TRUE")&gt;=3)</f>
        <v>0</v>
      </c>
    </row>
    <row r="38" spans="2:8" ht="15.6" customHeight="1" x14ac:dyDescent="0.2">
      <c r="B38" s="377"/>
      <c r="C38" s="397"/>
      <c r="D38" s="76" t="s">
        <v>611</v>
      </c>
      <c r="E38" s="187">
        <f>Check!K76</f>
        <v>0</v>
      </c>
      <c r="F38" s="187" t="str">
        <f>Check!I76</f>
        <v>F</v>
      </c>
      <c r="G38" s="125" t="b">
        <f>Check!H76</f>
        <v>0</v>
      </c>
      <c r="H38" s="383"/>
    </row>
    <row r="39" spans="2:8" ht="15.6" customHeight="1" x14ac:dyDescent="0.2">
      <c r="B39" s="377"/>
      <c r="C39" s="397"/>
      <c r="D39" s="191" t="s">
        <v>596</v>
      </c>
      <c r="E39" s="187">
        <f>Check!K78</f>
        <v>0</v>
      </c>
      <c r="F39" s="187" t="str">
        <f>Check!I78</f>
        <v>F</v>
      </c>
      <c r="G39" s="125" t="b">
        <f>Check!H78</f>
        <v>0</v>
      </c>
      <c r="H39" s="384"/>
    </row>
    <row r="40" spans="2:8" ht="15.6" customHeight="1" x14ac:dyDescent="0.2">
      <c r="B40" s="377"/>
      <c r="C40" s="385" t="s">
        <v>741</v>
      </c>
      <c r="D40" s="191" t="s">
        <v>598</v>
      </c>
      <c r="E40" s="187">
        <f>Check!K81</f>
        <v>0</v>
      </c>
      <c r="F40" s="187" t="str">
        <f>Check!I81</f>
        <v>F</v>
      </c>
      <c r="G40" s="125" t="b">
        <f>Check!H81</f>
        <v>0</v>
      </c>
      <c r="H40" s="382" t="b">
        <f>OR(COUNTIF(G40:G43,"TRUE")&gt;=3)</f>
        <v>0</v>
      </c>
    </row>
    <row r="41" spans="2:8" ht="15.6" customHeight="1" x14ac:dyDescent="0.2">
      <c r="B41" s="377"/>
      <c r="C41" s="386"/>
      <c r="D41" s="191" t="s">
        <v>580</v>
      </c>
      <c r="E41" s="187">
        <f>Check!K83</f>
        <v>0</v>
      </c>
      <c r="F41" s="187" t="str">
        <f>Check!I83</f>
        <v>F</v>
      </c>
      <c r="G41" s="125" t="b">
        <f>Check!H83</f>
        <v>0</v>
      </c>
      <c r="H41" s="383"/>
    </row>
    <row r="42" spans="2:8" ht="15.6" customHeight="1" x14ac:dyDescent="0.2">
      <c r="B42" s="377"/>
      <c r="C42" s="386"/>
      <c r="D42" s="191" t="s">
        <v>627</v>
      </c>
      <c r="E42" s="187">
        <f>Check!K85</f>
        <v>0</v>
      </c>
      <c r="F42" s="187" t="str">
        <f>Check!I85</f>
        <v>F</v>
      </c>
      <c r="G42" s="200" t="b">
        <f>Check!H85</f>
        <v>0</v>
      </c>
      <c r="H42" s="383"/>
    </row>
    <row r="43" spans="2:8" ht="15.6" customHeight="1" x14ac:dyDescent="0.2">
      <c r="B43" s="378"/>
      <c r="C43" s="387"/>
      <c r="D43" s="191" t="s">
        <v>628</v>
      </c>
      <c r="E43" s="187">
        <f>Check!K87</f>
        <v>0</v>
      </c>
      <c r="F43" s="187" t="str">
        <f>Check!I87</f>
        <v>F</v>
      </c>
      <c r="G43" s="125" t="b">
        <f>Check!H87</f>
        <v>0</v>
      </c>
      <c r="H43" s="384"/>
    </row>
    <row r="44" spans="2:8" ht="7.2" customHeight="1" x14ac:dyDescent="0.2">
      <c r="C44" s="171"/>
      <c r="D44" s="171"/>
      <c r="E44" s="171"/>
      <c r="F44" s="171"/>
      <c r="G44" s="189"/>
      <c r="H44" s="171"/>
    </row>
    <row r="45" spans="2:8" ht="90.6" customHeight="1" x14ac:dyDescent="0.2">
      <c r="B45" s="271" t="s">
        <v>746</v>
      </c>
      <c r="C45" s="388"/>
      <c r="D45" s="389"/>
      <c r="E45" s="389"/>
      <c r="F45" s="389"/>
      <c r="G45" s="389"/>
      <c r="H45" s="390"/>
    </row>
    <row r="46" spans="2:8" ht="6" customHeight="1" x14ac:dyDescent="0.2"/>
    <row r="47" spans="2:8" ht="34.200000000000003" customHeight="1" x14ac:dyDescent="0.2">
      <c r="B47" s="93" t="s">
        <v>603</v>
      </c>
      <c r="C47" s="391"/>
      <c r="D47" s="392"/>
      <c r="E47" s="194" t="s">
        <v>612</v>
      </c>
      <c r="F47" s="198">
        <f>SUM(E6:E43)</f>
        <v>1</v>
      </c>
      <c r="G47" s="284" t="s">
        <v>743</v>
      </c>
      <c r="H47" s="305">
        <f>COUNTIF(G6:G43,"TRUE")</f>
        <v>0</v>
      </c>
    </row>
    <row r="48" spans="2:8" x14ac:dyDescent="0.2">
      <c r="B48"/>
      <c r="G48"/>
    </row>
    <row r="49" spans="2:7" x14ac:dyDescent="0.2">
      <c r="B49"/>
      <c r="G49"/>
    </row>
    <row r="50" spans="2:7" x14ac:dyDescent="0.2">
      <c r="B50"/>
      <c r="G50"/>
    </row>
    <row r="51" spans="2:7" x14ac:dyDescent="0.2">
      <c r="B51"/>
      <c r="G51"/>
    </row>
  </sheetData>
  <sheetProtection sheet="1" objects="1" scenarios="1"/>
  <protectedRanges>
    <protectedRange sqref="C45:H45" name="次学期目標入力"/>
  </protectedRanges>
  <mergeCells count="24">
    <mergeCell ref="C45:H45"/>
    <mergeCell ref="C47:D47"/>
    <mergeCell ref="G2:H2"/>
    <mergeCell ref="H37:H39"/>
    <mergeCell ref="H40:H43"/>
    <mergeCell ref="C34:C36"/>
    <mergeCell ref="C31:C33"/>
    <mergeCell ref="C37:C39"/>
    <mergeCell ref="B26:B43"/>
    <mergeCell ref="B12:B25"/>
    <mergeCell ref="B6:B11"/>
    <mergeCell ref="H6:H9"/>
    <mergeCell ref="H10:H11"/>
    <mergeCell ref="H12:H18"/>
    <mergeCell ref="H19:H25"/>
    <mergeCell ref="H26:H30"/>
    <mergeCell ref="H31:H33"/>
    <mergeCell ref="H34:H36"/>
    <mergeCell ref="C26:C30"/>
    <mergeCell ref="C40:C43"/>
    <mergeCell ref="C10:C11"/>
    <mergeCell ref="C12:C18"/>
    <mergeCell ref="C19:C25"/>
    <mergeCell ref="C6:C9"/>
  </mergeCells>
  <phoneticPr fontId="3"/>
  <conditionalFormatting sqref="G6:G43">
    <cfRule type="containsText" dxfId="3" priority="4" operator="containsText" text="FALSE">
      <formula>NOT(ISERROR(SEARCH("FALSE",G6)))</formula>
    </cfRule>
  </conditionalFormatting>
  <conditionalFormatting sqref="H6:H43">
    <cfRule type="containsText" dxfId="2" priority="2" operator="containsText" text="FALSE">
      <formula>NOT(ISERROR(SEARCH("FALSE",H6)))</formula>
    </cfRule>
  </conditionalFormatting>
  <dataValidations count="1">
    <dataValidation type="textLength" allowBlank="1" showInputMessage="1" showErrorMessage="1" sqref="C45:H45">
      <formula1>100</formula1>
      <formula2>300</formula2>
    </dataValidation>
  </dataValidations>
  <printOptions horizontalCentered="1"/>
  <pageMargins left="0.51181102362204722" right="0.51181102362204722" top="0.59055118110236227" bottom="0.35433070866141736" header="0.31496062992125984" footer="0.31496062992125984"/>
  <pageSetup paperSize="9" scale="99" fitToWidth="0"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RowColHeaders="0" view="pageBreakPreview" zoomScale="90" zoomScaleNormal="70" zoomScaleSheetLayoutView="90" workbookViewId="0">
      <selection activeCell="N12" sqref="N12"/>
    </sheetView>
  </sheetViews>
  <sheetFormatPr defaultRowHeight="13.2" x14ac:dyDescent="0.2"/>
  <cols>
    <col min="1" max="1" width="5.33203125" customWidth="1"/>
    <col min="2" max="2" width="11.6640625" customWidth="1"/>
    <col min="3" max="3" width="5.5546875" customWidth="1"/>
    <col min="4" max="4" width="11.21875" style="1" customWidth="1"/>
    <col min="5" max="5" width="37.21875" customWidth="1"/>
    <col min="6" max="6" width="27.88671875" style="48" customWidth="1"/>
    <col min="7" max="7" width="4.109375" customWidth="1"/>
    <col min="8" max="8" width="5.77734375" customWidth="1"/>
    <col min="9" max="9" width="29" style="197" customWidth="1"/>
    <col min="10" max="10" width="1.6640625" customWidth="1"/>
    <col min="11" max="11" width="6.77734375" customWidth="1"/>
    <col min="12" max="12" width="28.6640625" hidden="1" customWidth="1"/>
  </cols>
  <sheetData>
    <row r="1" spans="1:12" ht="21" customHeight="1" x14ac:dyDescent="0.2">
      <c r="A1" s="312" t="s">
        <v>673</v>
      </c>
      <c r="B1" s="312"/>
      <c r="C1" s="312"/>
      <c r="D1" s="312"/>
      <c r="E1" s="312"/>
      <c r="F1" s="312"/>
      <c r="G1" s="312"/>
      <c r="H1" s="312"/>
      <c r="I1" s="312"/>
      <c r="L1" s="49" t="s">
        <v>664</v>
      </c>
    </row>
    <row r="2" spans="1:12" ht="4.8" customHeight="1" x14ac:dyDescent="0.2"/>
    <row r="3" spans="1:12" ht="14.4" customHeight="1" thickBot="1" x14ac:dyDescent="0.25">
      <c r="B3" t="s">
        <v>633</v>
      </c>
      <c r="D3"/>
      <c r="G3">
        <f>SUM(G5:G13)</f>
        <v>38</v>
      </c>
    </row>
    <row r="4" spans="1:12" ht="25.2" customHeight="1" x14ac:dyDescent="0.2">
      <c r="A4" s="223" t="s">
        <v>634</v>
      </c>
      <c r="B4" s="224" t="s">
        <v>665</v>
      </c>
      <c r="C4" s="225" t="s">
        <v>635</v>
      </c>
      <c r="D4" s="226" t="s">
        <v>636</v>
      </c>
      <c r="E4" s="227" t="s">
        <v>674</v>
      </c>
      <c r="F4" s="160" t="s">
        <v>699</v>
      </c>
      <c r="G4" s="228" t="s">
        <v>637</v>
      </c>
      <c r="H4" s="228" t="s">
        <v>224</v>
      </c>
      <c r="I4" s="251" t="s">
        <v>685</v>
      </c>
      <c r="L4" s="246" t="s">
        <v>675</v>
      </c>
    </row>
    <row r="5" spans="1:12" ht="46.8" customHeight="1" x14ac:dyDescent="0.2">
      <c r="A5" s="398" t="s">
        <v>236</v>
      </c>
      <c r="B5" s="400" t="s">
        <v>638</v>
      </c>
      <c r="C5" s="230" t="s">
        <v>299</v>
      </c>
      <c r="D5" s="231" t="s">
        <v>639</v>
      </c>
      <c r="E5" s="232" t="s">
        <v>724</v>
      </c>
      <c r="F5" s="232" t="s">
        <v>701</v>
      </c>
      <c r="G5" s="233">
        <v>4</v>
      </c>
      <c r="H5" s="254" t="s">
        <v>648</v>
      </c>
      <c r="I5" s="275" t="s">
        <v>678</v>
      </c>
      <c r="L5" s="247" t="s">
        <v>655</v>
      </c>
    </row>
    <row r="6" spans="1:12" ht="43.2" customHeight="1" x14ac:dyDescent="0.2">
      <c r="A6" s="398"/>
      <c r="B6" s="400"/>
      <c r="C6" s="230" t="s">
        <v>300</v>
      </c>
      <c r="D6" s="231" t="s">
        <v>305</v>
      </c>
      <c r="E6" s="232" t="s">
        <v>725</v>
      </c>
      <c r="F6" s="232" t="s">
        <v>640</v>
      </c>
      <c r="G6" s="233">
        <v>2</v>
      </c>
      <c r="H6" s="255" t="s">
        <v>6</v>
      </c>
      <c r="I6" s="275" t="s">
        <v>680</v>
      </c>
      <c r="L6" s="248" t="s">
        <v>656</v>
      </c>
    </row>
    <row r="7" spans="1:12" ht="54.6" customHeight="1" x14ac:dyDescent="0.2">
      <c r="A7" s="398" t="s">
        <v>237</v>
      </c>
      <c r="B7" s="400" t="s">
        <v>641</v>
      </c>
      <c r="C7" s="230" t="s">
        <v>494</v>
      </c>
      <c r="D7" s="231" t="s">
        <v>642</v>
      </c>
      <c r="E7" s="232" t="s">
        <v>726</v>
      </c>
      <c r="F7" s="232" t="s">
        <v>672</v>
      </c>
      <c r="G7" s="233">
        <v>7</v>
      </c>
      <c r="H7" s="255" t="s">
        <v>6</v>
      </c>
      <c r="I7" s="275" t="s">
        <v>679</v>
      </c>
      <c r="L7" s="248" t="s">
        <v>657</v>
      </c>
    </row>
    <row r="8" spans="1:12" ht="61.8" customHeight="1" x14ac:dyDescent="0.2">
      <c r="A8" s="398"/>
      <c r="B8" s="400"/>
      <c r="C8" s="230" t="s">
        <v>643</v>
      </c>
      <c r="D8" s="231" t="s">
        <v>644</v>
      </c>
      <c r="E8" s="232" t="s">
        <v>727</v>
      </c>
      <c r="F8" s="232" t="s">
        <v>700</v>
      </c>
      <c r="G8" s="233">
        <v>7</v>
      </c>
      <c r="H8" s="255" t="s">
        <v>6</v>
      </c>
      <c r="I8" s="275" t="s">
        <v>136</v>
      </c>
      <c r="L8" s="248" t="s">
        <v>658</v>
      </c>
    </row>
    <row r="9" spans="1:12" ht="72" customHeight="1" x14ac:dyDescent="0.2">
      <c r="A9" s="398" t="s">
        <v>59</v>
      </c>
      <c r="B9" s="400" t="s">
        <v>645</v>
      </c>
      <c r="C9" s="230" t="s">
        <v>646</v>
      </c>
      <c r="D9" s="234" t="s">
        <v>647</v>
      </c>
      <c r="E9" s="103" t="s">
        <v>728</v>
      </c>
      <c r="F9" s="272" t="s">
        <v>676</v>
      </c>
      <c r="G9" s="235">
        <v>5</v>
      </c>
      <c r="H9" s="254" t="s">
        <v>648</v>
      </c>
      <c r="I9" s="275" t="s">
        <v>702</v>
      </c>
      <c r="L9" s="248" t="s">
        <v>661</v>
      </c>
    </row>
    <row r="10" spans="1:12" ht="52.8" customHeight="1" x14ac:dyDescent="0.2">
      <c r="A10" s="398"/>
      <c r="B10" s="400"/>
      <c r="C10" s="230" t="s">
        <v>379</v>
      </c>
      <c r="D10" s="234" t="s">
        <v>649</v>
      </c>
      <c r="E10" s="103" t="s">
        <v>729</v>
      </c>
      <c r="F10" s="272" t="s">
        <v>671</v>
      </c>
      <c r="G10" s="235">
        <v>3</v>
      </c>
      <c r="H10" s="254" t="s">
        <v>648</v>
      </c>
      <c r="I10" s="275" t="s">
        <v>681</v>
      </c>
      <c r="L10" s="248" t="s">
        <v>659</v>
      </c>
    </row>
    <row r="11" spans="1:12" ht="53.4" customHeight="1" x14ac:dyDescent="0.2">
      <c r="A11" s="398"/>
      <c r="B11" s="400"/>
      <c r="C11" s="230" t="s">
        <v>380</v>
      </c>
      <c r="D11" s="234" t="s">
        <v>650</v>
      </c>
      <c r="E11" s="103" t="s">
        <v>730</v>
      </c>
      <c r="F11" s="272" t="s">
        <v>670</v>
      </c>
      <c r="G11" s="235">
        <v>3</v>
      </c>
      <c r="H11" s="254" t="s">
        <v>648</v>
      </c>
      <c r="I11" s="275" t="s">
        <v>682</v>
      </c>
      <c r="L11" s="248" t="s">
        <v>662</v>
      </c>
    </row>
    <row r="12" spans="1:12" ht="51" customHeight="1" x14ac:dyDescent="0.2">
      <c r="A12" s="398"/>
      <c r="B12" s="400"/>
      <c r="C12" s="230" t="s">
        <v>651</v>
      </c>
      <c r="D12" s="234" t="s">
        <v>652</v>
      </c>
      <c r="E12" s="236" t="s">
        <v>731</v>
      </c>
      <c r="F12" s="236" t="s">
        <v>669</v>
      </c>
      <c r="G12" s="235">
        <v>3</v>
      </c>
      <c r="H12" s="254" t="s">
        <v>308</v>
      </c>
      <c r="I12" s="275" t="s">
        <v>683</v>
      </c>
      <c r="L12" s="248" t="s">
        <v>663</v>
      </c>
    </row>
    <row r="13" spans="1:12" ht="55.8" customHeight="1" thickBot="1" x14ac:dyDescent="0.25">
      <c r="A13" s="399"/>
      <c r="B13" s="401"/>
      <c r="C13" s="237" t="s">
        <v>653</v>
      </c>
      <c r="D13" s="238" t="s">
        <v>654</v>
      </c>
      <c r="E13" s="220" t="s">
        <v>732</v>
      </c>
      <c r="F13" s="273" t="s">
        <v>668</v>
      </c>
      <c r="G13" s="239">
        <v>4</v>
      </c>
      <c r="H13" s="256" t="s">
        <v>648</v>
      </c>
      <c r="I13" s="276" t="s">
        <v>684</v>
      </c>
      <c r="L13" s="248" t="s">
        <v>660</v>
      </c>
    </row>
    <row r="14" spans="1:12" ht="13.2" customHeight="1" x14ac:dyDescent="0.2">
      <c r="A14" s="26"/>
      <c r="B14" s="134"/>
      <c r="C14" s="240"/>
      <c r="D14" s="241"/>
      <c r="E14" s="242"/>
      <c r="F14" s="274"/>
      <c r="G14" s="243"/>
      <c r="H14" s="244"/>
      <c r="I14" s="250"/>
      <c r="L14" s="245"/>
    </row>
    <row r="15" spans="1:12" ht="17.399999999999999" customHeight="1" x14ac:dyDescent="0.2">
      <c r="D15"/>
    </row>
    <row r="16" spans="1:12" ht="13.8" customHeight="1" x14ac:dyDescent="0.2">
      <c r="D16"/>
    </row>
    <row r="17" spans="4:4" ht="13.8" customHeight="1" x14ac:dyDescent="0.2">
      <c r="D17"/>
    </row>
    <row r="18" spans="4:4" ht="18.600000000000001" customHeight="1" x14ac:dyDescent="0.2">
      <c r="D18"/>
    </row>
    <row r="19" spans="4:4" x14ac:dyDescent="0.2">
      <c r="D19"/>
    </row>
    <row r="20" spans="4:4" x14ac:dyDescent="0.2">
      <c r="D20"/>
    </row>
    <row r="21" spans="4:4" ht="13.2" customHeight="1" x14ac:dyDescent="0.2">
      <c r="D21"/>
    </row>
    <row r="22" spans="4:4" x14ac:dyDescent="0.2">
      <c r="D22"/>
    </row>
    <row r="23" spans="4:4" x14ac:dyDescent="0.2">
      <c r="D23"/>
    </row>
    <row r="24" spans="4:4" x14ac:dyDescent="0.2">
      <c r="D24"/>
    </row>
    <row r="25" spans="4:4" x14ac:dyDescent="0.2">
      <c r="D25"/>
    </row>
    <row r="26" spans="4:4" x14ac:dyDescent="0.2">
      <c r="D26"/>
    </row>
    <row r="27" spans="4:4" x14ac:dyDescent="0.2">
      <c r="D27"/>
    </row>
    <row r="28" spans="4:4" x14ac:dyDescent="0.2">
      <c r="D28"/>
    </row>
    <row r="29" spans="4:4" x14ac:dyDescent="0.2">
      <c r="D29"/>
    </row>
    <row r="30" spans="4:4" x14ac:dyDescent="0.2">
      <c r="D30"/>
    </row>
  </sheetData>
  <sheetProtection sheet="1" objects="1" scenarios="1"/>
  <mergeCells count="7">
    <mergeCell ref="A9:A13"/>
    <mergeCell ref="B9:B13"/>
    <mergeCell ref="A1:I1"/>
    <mergeCell ref="A5:A6"/>
    <mergeCell ref="B5:B6"/>
    <mergeCell ref="A7:A8"/>
    <mergeCell ref="B7:B8"/>
  </mergeCells>
  <phoneticPr fontId="3"/>
  <pageMargins left="0.7" right="0.7" top="0.75" bottom="0.75" header="0.3" footer="0.3"/>
  <pageSetup paperSize="9" scale="94" fitToWidth="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51"/>
  <sheetViews>
    <sheetView showRowColHeaders="0" view="pageBreakPreview" topLeftCell="A19" zoomScale="90" zoomScaleNormal="100" zoomScaleSheetLayoutView="90" workbookViewId="0">
      <selection activeCell="C45" sqref="C45:H45"/>
    </sheetView>
  </sheetViews>
  <sheetFormatPr defaultRowHeight="13.2" x14ac:dyDescent="0.2"/>
  <cols>
    <col min="1" max="1" width="1" customWidth="1"/>
    <col min="2" max="2" width="7.6640625" style="54" customWidth="1"/>
    <col min="3" max="3" width="42.77734375" customWidth="1"/>
    <col min="4" max="4" width="15.44140625" customWidth="1"/>
    <col min="5" max="5" width="6.77734375" customWidth="1"/>
    <col min="6" max="6" width="5.21875" customWidth="1"/>
    <col min="7" max="7" width="6.109375" style="10" customWidth="1"/>
    <col min="8" max="9" width="6.6640625" customWidth="1"/>
    <col min="10" max="10" width="6.5546875" customWidth="1"/>
  </cols>
  <sheetData>
    <row r="1" spans="2:8" ht="18" customHeight="1" x14ac:dyDescent="0.2">
      <c r="B1" s="277"/>
      <c r="C1" s="278" t="s">
        <v>589</v>
      </c>
      <c r="D1" s="252"/>
      <c r="E1" s="252"/>
      <c r="F1" s="49" t="s">
        <v>541</v>
      </c>
      <c r="G1" s="212" t="str">
        <f>ID!C12</f>
        <v>2018.4.10</v>
      </c>
      <c r="H1" s="193"/>
    </row>
    <row r="2" spans="2:8" ht="15" customHeight="1" x14ac:dyDescent="0.2">
      <c r="C2" s="171"/>
      <c r="F2" s="49" t="s">
        <v>609</v>
      </c>
      <c r="G2" s="393">
        <f ca="1">TODAY()</f>
        <v>43500</v>
      </c>
      <c r="H2" s="393"/>
    </row>
    <row r="3" spans="2:8" ht="16.2" customHeight="1" x14ac:dyDescent="0.2">
      <c r="B3" s="196" t="s">
        <v>610</v>
      </c>
      <c r="C3" s="213" t="str">
        <f>CONCATENATE(ID!C4," (",ID!C6,") 　",ID!C3," 年度入学")</f>
        <v>明治　紫紺 (153RXXXXX) 　2015 年度入学</v>
      </c>
      <c r="D3" s="214" t="str">
        <f>CONCATENATE(ID!C8,"年",ID!C9,"組",ID!C10,"番")</f>
        <v>1年5組100番</v>
      </c>
      <c r="F3" s="215" t="str">
        <f>IF(ID!C19&lt;&gt;"",ID!B19,ID!B18)</f>
        <v>指導教員</v>
      </c>
      <c r="G3" s="10" t="str">
        <f>IF(ID!C19&lt;&gt;"",ID!C19,ID!C18)</f>
        <v>機械　指導</v>
      </c>
    </row>
    <row r="4" spans="2:8" ht="6" customHeight="1" x14ac:dyDescent="0.2"/>
    <row r="5" spans="2:8" ht="30.6" customHeight="1" x14ac:dyDescent="0.2">
      <c r="B5" s="186" t="s">
        <v>602</v>
      </c>
      <c r="C5" s="184" t="s">
        <v>559</v>
      </c>
      <c r="D5" s="269" t="s">
        <v>254</v>
      </c>
      <c r="E5" s="167" t="s">
        <v>597</v>
      </c>
      <c r="F5" s="5" t="s">
        <v>308</v>
      </c>
      <c r="G5" s="268" t="s">
        <v>224</v>
      </c>
      <c r="H5" s="271" t="s">
        <v>606</v>
      </c>
    </row>
    <row r="6" spans="2:8" ht="16.2" customHeight="1" x14ac:dyDescent="0.2">
      <c r="B6" s="379" t="s">
        <v>600</v>
      </c>
      <c r="C6" s="385" t="s">
        <v>733</v>
      </c>
      <c r="D6" s="270" t="s">
        <v>560</v>
      </c>
      <c r="E6" s="187">
        <f>Check!K5</f>
        <v>0</v>
      </c>
      <c r="F6" s="187" t="str">
        <f>Check!I5</f>
        <v>H</v>
      </c>
      <c r="G6" s="267" t="b">
        <f>Check!H5</f>
        <v>0</v>
      </c>
      <c r="H6" s="382" t="b">
        <f>OR(COUNTIF(G6:G8,"TRUE")&gt;=3)</f>
        <v>0</v>
      </c>
    </row>
    <row r="7" spans="2:8" ht="16.2" customHeight="1" x14ac:dyDescent="0.2">
      <c r="B7" s="380"/>
      <c r="C7" s="386"/>
      <c r="D7" s="270" t="s">
        <v>561</v>
      </c>
      <c r="E7" s="187">
        <f>Check!K7</f>
        <v>0</v>
      </c>
      <c r="F7" s="187" t="str">
        <f>Check!I7</f>
        <v>H</v>
      </c>
      <c r="G7" s="267" t="b">
        <f>Check!H7</f>
        <v>0</v>
      </c>
      <c r="H7" s="383"/>
    </row>
    <row r="8" spans="2:8" ht="16.2" customHeight="1" x14ac:dyDescent="0.2">
      <c r="B8" s="380"/>
      <c r="C8" s="386"/>
      <c r="D8" s="211" t="s">
        <v>584</v>
      </c>
      <c r="E8" s="187">
        <f>Check!K9</f>
        <v>0</v>
      </c>
      <c r="F8" s="187" t="str">
        <f>Check!I9</f>
        <v>H</v>
      </c>
      <c r="G8" s="267" t="b">
        <f>Check!H9</f>
        <v>0</v>
      </c>
      <c r="H8" s="383"/>
    </row>
    <row r="9" spans="2:8" ht="16.2" customHeight="1" x14ac:dyDescent="0.2">
      <c r="B9" s="380"/>
      <c r="C9" s="387"/>
      <c r="D9" s="270" t="s">
        <v>587</v>
      </c>
      <c r="E9" s="187">
        <f>Check!K11</f>
        <v>0</v>
      </c>
      <c r="F9" s="187" t="str">
        <f>Check!I11</f>
        <v>H</v>
      </c>
      <c r="G9" s="267" t="b">
        <f>Check!H11</f>
        <v>0</v>
      </c>
      <c r="H9" s="384"/>
    </row>
    <row r="10" spans="2:8" ht="16.2" customHeight="1" x14ac:dyDescent="0.2">
      <c r="B10" s="380"/>
      <c r="C10" s="385" t="s">
        <v>734</v>
      </c>
      <c r="D10" s="270" t="s">
        <v>562</v>
      </c>
      <c r="E10" s="187">
        <f>Check!K14</f>
        <v>0</v>
      </c>
      <c r="F10" s="187" t="str">
        <f>Check!I14</f>
        <v>F</v>
      </c>
      <c r="G10" s="267" t="b">
        <f>Check!H14</f>
        <v>0</v>
      </c>
      <c r="H10" s="382" t="b">
        <f>OR(COUNTIF(G10,"TRUE")&gt;=1)</f>
        <v>0</v>
      </c>
    </row>
    <row r="11" spans="2:8" ht="27" customHeight="1" x14ac:dyDescent="0.2">
      <c r="B11" s="381"/>
      <c r="C11" s="387"/>
      <c r="D11" s="270" t="s">
        <v>588</v>
      </c>
      <c r="E11" s="187">
        <f>Check!K16</f>
        <v>0</v>
      </c>
      <c r="F11" s="187" t="str">
        <f>Check!I16</f>
        <v>G</v>
      </c>
      <c r="G11" s="267" t="b">
        <f>Check!H16</f>
        <v>0</v>
      </c>
      <c r="H11" s="384"/>
    </row>
    <row r="12" spans="2:8" ht="15.6" customHeight="1" x14ac:dyDescent="0.2">
      <c r="B12" s="376" t="s">
        <v>601</v>
      </c>
      <c r="C12" s="385" t="s">
        <v>735</v>
      </c>
      <c r="D12" s="270" t="s">
        <v>563</v>
      </c>
      <c r="E12" s="187">
        <f>Check!K19</f>
        <v>0</v>
      </c>
      <c r="F12" s="187" t="str">
        <f>Check!I19</f>
        <v>H</v>
      </c>
      <c r="G12" s="267" t="b">
        <f>Check!H19</f>
        <v>0</v>
      </c>
      <c r="H12" s="382" t="b">
        <f>OR(COUNTIF(G12:G17,"TRUE")&gt;=6)</f>
        <v>0</v>
      </c>
    </row>
    <row r="13" spans="2:8" ht="15.6" customHeight="1" x14ac:dyDescent="0.2">
      <c r="B13" s="377"/>
      <c r="C13" s="386"/>
      <c r="D13" s="270" t="s">
        <v>564</v>
      </c>
      <c r="E13" s="187">
        <f>Check!K21</f>
        <v>0</v>
      </c>
      <c r="F13" s="187" t="str">
        <f>Check!I21</f>
        <v>H</v>
      </c>
      <c r="G13" s="267" t="b">
        <f>Check!H21</f>
        <v>0</v>
      </c>
      <c r="H13" s="383"/>
    </row>
    <row r="14" spans="2:8" ht="15.6" customHeight="1" x14ac:dyDescent="0.2">
      <c r="B14" s="377"/>
      <c r="C14" s="386"/>
      <c r="D14" s="270" t="s">
        <v>565</v>
      </c>
      <c r="E14" s="187">
        <f>Check!K23</f>
        <v>0</v>
      </c>
      <c r="F14" s="187" t="str">
        <f>Check!I23</f>
        <v>H</v>
      </c>
      <c r="G14" s="267" t="b">
        <f>Check!H23</f>
        <v>0</v>
      </c>
      <c r="H14" s="383"/>
    </row>
    <row r="15" spans="2:8" ht="15.6" customHeight="1" x14ac:dyDescent="0.2">
      <c r="B15" s="377"/>
      <c r="C15" s="386"/>
      <c r="D15" s="270" t="s">
        <v>566</v>
      </c>
      <c r="E15" s="187">
        <f>Check!K25</f>
        <v>0</v>
      </c>
      <c r="F15" s="187" t="str">
        <f>Check!I25</f>
        <v>F</v>
      </c>
      <c r="G15" s="267" t="b">
        <f>Check!H25</f>
        <v>0</v>
      </c>
      <c r="H15" s="383"/>
    </row>
    <row r="16" spans="2:8" ht="15.6" customHeight="1" x14ac:dyDescent="0.2">
      <c r="B16" s="377"/>
      <c r="C16" s="386"/>
      <c r="D16" s="270" t="s">
        <v>567</v>
      </c>
      <c r="E16" s="187">
        <f>Check!K27</f>
        <v>0</v>
      </c>
      <c r="F16" s="187" t="str">
        <f>Check!I27</f>
        <v>G</v>
      </c>
      <c r="G16" s="267" t="b">
        <f>Check!H27</f>
        <v>0</v>
      </c>
      <c r="H16" s="383"/>
    </row>
    <row r="17" spans="2:8" ht="15.6" customHeight="1" x14ac:dyDescent="0.2">
      <c r="B17" s="377"/>
      <c r="C17" s="386"/>
      <c r="D17" s="270" t="s">
        <v>568</v>
      </c>
      <c r="E17" s="187">
        <f>Check!K29</f>
        <v>0</v>
      </c>
      <c r="F17" s="187" t="str">
        <f>Check!I29</f>
        <v>H</v>
      </c>
      <c r="G17" s="267" t="b">
        <f>Check!H29</f>
        <v>0</v>
      </c>
      <c r="H17" s="383"/>
    </row>
    <row r="18" spans="2:8" ht="15.6" customHeight="1" x14ac:dyDescent="0.2">
      <c r="B18" s="377"/>
      <c r="C18" s="387"/>
      <c r="D18" s="270" t="s">
        <v>590</v>
      </c>
      <c r="E18" s="187">
        <f>Check!K31</f>
        <v>0</v>
      </c>
      <c r="F18" s="187" t="str">
        <f>Check!I31</f>
        <v>H</v>
      </c>
      <c r="G18" s="267" t="b">
        <f>Check!H31</f>
        <v>0</v>
      </c>
      <c r="H18" s="384"/>
    </row>
    <row r="19" spans="2:8" ht="15.6" customHeight="1" x14ac:dyDescent="0.2">
      <c r="B19" s="377"/>
      <c r="C19" s="385" t="s">
        <v>736</v>
      </c>
      <c r="D19" s="270" t="s">
        <v>569</v>
      </c>
      <c r="E19" s="187">
        <f>Check!K34</f>
        <v>0</v>
      </c>
      <c r="F19" s="187" t="str">
        <f>Check!I34</f>
        <v>H</v>
      </c>
      <c r="G19" s="267" t="b">
        <f>Check!H34</f>
        <v>0</v>
      </c>
      <c r="H19" s="382" t="b">
        <f>OR(COUNTIF(G19:G25,"TRUE")&gt;=7)</f>
        <v>0</v>
      </c>
    </row>
    <row r="20" spans="2:8" ht="15.6" customHeight="1" x14ac:dyDescent="0.2">
      <c r="B20" s="377"/>
      <c r="C20" s="386"/>
      <c r="D20" s="270" t="s">
        <v>570</v>
      </c>
      <c r="E20" s="187">
        <f>Check!K36</f>
        <v>0</v>
      </c>
      <c r="F20" s="187" t="str">
        <f>Check!I36</f>
        <v>H</v>
      </c>
      <c r="G20" s="267" t="b">
        <f>Check!H36</f>
        <v>0</v>
      </c>
      <c r="H20" s="383"/>
    </row>
    <row r="21" spans="2:8" ht="15.6" customHeight="1" x14ac:dyDescent="0.2">
      <c r="B21" s="377"/>
      <c r="C21" s="386"/>
      <c r="D21" s="270" t="s">
        <v>581</v>
      </c>
      <c r="E21" s="187">
        <f>Check!K38</f>
        <v>0</v>
      </c>
      <c r="F21" s="187" t="str">
        <f>Check!I38</f>
        <v>H</v>
      </c>
      <c r="G21" s="267" t="b">
        <f>Check!H38</f>
        <v>0</v>
      </c>
      <c r="H21" s="383"/>
    </row>
    <row r="22" spans="2:8" ht="15.6" customHeight="1" x14ac:dyDescent="0.2">
      <c r="B22" s="377"/>
      <c r="C22" s="386"/>
      <c r="D22" s="270" t="s">
        <v>571</v>
      </c>
      <c r="E22" s="187">
        <f>Check!K40</f>
        <v>0</v>
      </c>
      <c r="F22" s="187" t="str">
        <f>Check!I40</f>
        <v>H</v>
      </c>
      <c r="G22" s="267" t="b">
        <f>Check!H40</f>
        <v>0</v>
      </c>
      <c r="H22" s="383"/>
    </row>
    <row r="23" spans="2:8" ht="15.6" customHeight="1" x14ac:dyDescent="0.2">
      <c r="B23" s="377"/>
      <c r="C23" s="386"/>
      <c r="D23" s="270" t="s">
        <v>572</v>
      </c>
      <c r="E23" s="187">
        <f>Check!K42</f>
        <v>0</v>
      </c>
      <c r="F23" s="187" t="str">
        <f>Check!I42</f>
        <v>F</v>
      </c>
      <c r="G23" s="267" t="b">
        <f>Check!H42</f>
        <v>0</v>
      </c>
      <c r="H23" s="383"/>
    </row>
    <row r="24" spans="2:8" ht="15.6" customHeight="1" x14ac:dyDescent="0.2">
      <c r="B24" s="377"/>
      <c r="C24" s="386"/>
      <c r="D24" s="270" t="s">
        <v>582</v>
      </c>
      <c r="E24" s="187">
        <f>Check!K44</f>
        <v>0</v>
      </c>
      <c r="F24" s="187" t="str">
        <f>Check!I44</f>
        <v>F</v>
      </c>
      <c r="G24" s="267" t="b">
        <f>Check!H44</f>
        <v>0</v>
      </c>
      <c r="H24" s="383"/>
    </row>
    <row r="25" spans="2:8" ht="15.6" customHeight="1" x14ac:dyDescent="0.2">
      <c r="B25" s="378"/>
      <c r="C25" s="387"/>
      <c r="D25" s="270" t="s">
        <v>573</v>
      </c>
      <c r="E25" s="187">
        <f>Check!K46</f>
        <v>0</v>
      </c>
      <c r="F25" s="187" t="str">
        <f>Check!I46</f>
        <v>F</v>
      </c>
      <c r="G25" s="267" t="b">
        <f>Check!H46</f>
        <v>0</v>
      </c>
      <c r="H25" s="384"/>
    </row>
    <row r="26" spans="2:8" ht="15.6" customHeight="1" x14ac:dyDescent="0.2">
      <c r="B26" s="376" t="s">
        <v>599</v>
      </c>
      <c r="C26" s="385" t="s">
        <v>737</v>
      </c>
      <c r="D26" s="190" t="s">
        <v>574</v>
      </c>
      <c r="E26" s="188">
        <f>Check!K49</f>
        <v>0</v>
      </c>
      <c r="F26" s="187" t="str">
        <f>Check!I49</f>
        <v>H</v>
      </c>
      <c r="G26" s="267" t="b">
        <f>Check!H49</f>
        <v>0</v>
      </c>
      <c r="H26" s="382" t="b">
        <f>OR(COUNTIF(G26:G27:G29,"TRUE")&gt;=3)</f>
        <v>0</v>
      </c>
    </row>
    <row r="27" spans="2:8" ht="15.6" customHeight="1" x14ac:dyDescent="0.2">
      <c r="B27" s="377"/>
      <c r="C27" s="386"/>
      <c r="D27" s="190" t="s">
        <v>592</v>
      </c>
      <c r="E27" s="187">
        <f>Check!K51</f>
        <v>0</v>
      </c>
      <c r="F27" s="187" t="str">
        <f>Check!I51</f>
        <v>H</v>
      </c>
      <c r="G27" s="267" t="b">
        <f>Check!H51</f>
        <v>0</v>
      </c>
      <c r="H27" s="383"/>
    </row>
    <row r="28" spans="2:8" ht="15.6" customHeight="1" x14ac:dyDescent="0.2">
      <c r="B28" s="377"/>
      <c r="C28" s="386"/>
      <c r="D28" s="190" t="s">
        <v>591</v>
      </c>
      <c r="E28" s="187">
        <f>Check!K53</f>
        <v>1</v>
      </c>
      <c r="F28" s="187" t="str">
        <f>Check!I53</f>
        <v>H</v>
      </c>
      <c r="G28" s="267" t="b">
        <f>Check!H53</f>
        <v>0</v>
      </c>
      <c r="H28" s="383"/>
    </row>
    <row r="29" spans="2:8" ht="15.6" customHeight="1" x14ac:dyDescent="0.2">
      <c r="B29" s="377"/>
      <c r="C29" s="386"/>
      <c r="D29" s="190" t="s">
        <v>593</v>
      </c>
      <c r="E29" s="187">
        <f>Check!K55</f>
        <v>0</v>
      </c>
      <c r="F29" s="187" t="str">
        <f>Check!I55</f>
        <v>F</v>
      </c>
      <c r="G29" s="267" t="b">
        <f>Check!H55</f>
        <v>0</v>
      </c>
      <c r="H29" s="383"/>
    </row>
    <row r="30" spans="2:8" ht="15.6" customHeight="1" x14ac:dyDescent="0.2">
      <c r="B30" s="377"/>
      <c r="C30" s="387"/>
      <c r="D30" s="190" t="s">
        <v>594</v>
      </c>
      <c r="E30" s="187">
        <f>Check!K57</f>
        <v>0</v>
      </c>
      <c r="F30" s="187" t="str">
        <f>Check!I57</f>
        <v>F</v>
      </c>
      <c r="G30" s="267" t="b">
        <f>Check!H57</f>
        <v>0</v>
      </c>
      <c r="H30" s="384"/>
    </row>
    <row r="31" spans="2:8" ht="16.2" customHeight="1" x14ac:dyDescent="0.2">
      <c r="B31" s="377"/>
      <c r="C31" s="394" t="s">
        <v>738</v>
      </c>
      <c r="D31" s="191" t="s">
        <v>575</v>
      </c>
      <c r="E31" s="187">
        <f>Check!K60</f>
        <v>0</v>
      </c>
      <c r="F31" s="187" t="str">
        <f>Check!I60</f>
        <v>H</v>
      </c>
      <c r="G31" s="267" t="b">
        <f>Check!H60</f>
        <v>0</v>
      </c>
      <c r="H31" s="382" t="b">
        <f>OR(COUNTIF(G31:G33,"TRUE")&gt;=3)</f>
        <v>0</v>
      </c>
    </row>
    <row r="32" spans="2:8" ht="16.2" customHeight="1" x14ac:dyDescent="0.2">
      <c r="B32" s="377"/>
      <c r="C32" s="395"/>
      <c r="D32" s="191" t="s">
        <v>576</v>
      </c>
      <c r="E32" s="187">
        <f>Check!K62</f>
        <v>0</v>
      </c>
      <c r="F32" s="187" t="str">
        <f>Check!I62</f>
        <v>F</v>
      </c>
      <c r="G32" s="267" t="b">
        <f>Check!H62</f>
        <v>0</v>
      </c>
      <c r="H32" s="383"/>
    </row>
    <row r="33" spans="2:8" ht="16.2" customHeight="1" x14ac:dyDescent="0.2">
      <c r="B33" s="377"/>
      <c r="C33" s="396"/>
      <c r="D33" s="191" t="s">
        <v>577</v>
      </c>
      <c r="E33" s="187">
        <f>Check!K64</f>
        <v>0</v>
      </c>
      <c r="F33" s="187" t="str">
        <f>Check!I64</f>
        <v>F</v>
      </c>
      <c r="G33" s="267" t="b">
        <f>Check!H64</f>
        <v>0</v>
      </c>
      <c r="H33" s="384"/>
    </row>
    <row r="34" spans="2:8" ht="15.6" customHeight="1" x14ac:dyDescent="0.2">
      <c r="B34" s="377"/>
      <c r="C34" s="394" t="s">
        <v>739</v>
      </c>
      <c r="D34" s="191" t="s">
        <v>578</v>
      </c>
      <c r="E34" s="187">
        <f>Check!K67</f>
        <v>0</v>
      </c>
      <c r="F34" s="187" t="str">
        <f>Check!I67</f>
        <v>F</v>
      </c>
      <c r="G34" s="267" t="b">
        <f>Check!H67</f>
        <v>0</v>
      </c>
      <c r="H34" s="382" t="b">
        <f>OR(COUNTIF(G34:G36,"TRUE")&gt;=3)</f>
        <v>0</v>
      </c>
    </row>
    <row r="35" spans="2:8" ht="15.6" customHeight="1" x14ac:dyDescent="0.2">
      <c r="B35" s="377"/>
      <c r="C35" s="395"/>
      <c r="D35" s="191" t="s">
        <v>579</v>
      </c>
      <c r="E35" s="187">
        <f>Check!K69</f>
        <v>0</v>
      </c>
      <c r="F35" s="187" t="str">
        <f>Check!I69</f>
        <v>F</v>
      </c>
      <c r="G35" s="267" t="b">
        <f>Check!H69</f>
        <v>0</v>
      </c>
      <c r="H35" s="383"/>
    </row>
    <row r="36" spans="2:8" ht="15.6" customHeight="1" x14ac:dyDescent="0.2">
      <c r="B36" s="377"/>
      <c r="C36" s="396"/>
      <c r="D36" s="191" t="s">
        <v>595</v>
      </c>
      <c r="E36" s="187">
        <f>Check!K71</f>
        <v>0</v>
      </c>
      <c r="F36" s="187" t="str">
        <f>Check!I71</f>
        <v>F</v>
      </c>
      <c r="G36" s="267" t="b">
        <f>Check!H71</f>
        <v>0</v>
      </c>
      <c r="H36" s="384"/>
    </row>
    <row r="37" spans="2:8" ht="15.6" customHeight="1" x14ac:dyDescent="0.2">
      <c r="B37" s="377"/>
      <c r="C37" s="397" t="s">
        <v>740</v>
      </c>
      <c r="D37" s="270" t="s">
        <v>583</v>
      </c>
      <c r="E37" s="187">
        <f>Check!K74</f>
        <v>0</v>
      </c>
      <c r="F37" s="187" t="str">
        <f>Check!I74</f>
        <v>F</v>
      </c>
      <c r="G37" s="267" t="b">
        <f>Check!H74</f>
        <v>0</v>
      </c>
      <c r="H37" s="382" t="b">
        <f>OR(COUNTIF(G37:G39,"TRUE")&gt;=1)</f>
        <v>0</v>
      </c>
    </row>
    <row r="38" spans="2:8" ht="15.6" customHeight="1" x14ac:dyDescent="0.2">
      <c r="B38" s="377"/>
      <c r="C38" s="397"/>
      <c r="D38" s="270" t="s">
        <v>611</v>
      </c>
      <c r="E38" s="187">
        <f>Check!K76</f>
        <v>0</v>
      </c>
      <c r="F38" s="187" t="str">
        <f>Check!I76</f>
        <v>F</v>
      </c>
      <c r="G38" s="267" t="b">
        <f>Check!H76</f>
        <v>0</v>
      </c>
      <c r="H38" s="383"/>
    </row>
    <row r="39" spans="2:8" ht="15.6" customHeight="1" x14ac:dyDescent="0.2">
      <c r="B39" s="377"/>
      <c r="C39" s="397"/>
      <c r="D39" s="191" t="s">
        <v>596</v>
      </c>
      <c r="E39" s="187">
        <f>Check!K78</f>
        <v>0</v>
      </c>
      <c r="F39" s="187" t="str">
        <f>Check!I78</f>
        <v>F</v>
      </c>
      <c r="G39" s="267" t="b">
        <f>Check!H78</f>
        <v>0</v>
      </c>
      <c r="H39" s="384"/>
    </row>
    <row r="40" spans="2:8" ht="15.6" customHeight="1" x14ac:dyDescent="0.2">
      <c r="B40" s="377"/>
      <c r="C40" s="385" t="s">
        <v>741</v>
      </c>
      <c r="D40" s="191" t="s">
        <v>598</v>
      </c>
      <c r="E40" s="187">
        <f>Check!K81</f>
        <v>0</v>
      </c>
      <c r="F40" s="187" t="str">
        <f>Check!I81</f>
        <v>F</v>
      </c>
      <c r="G40" s="267" t="b">
        <f>Check!H81</f>
        <v>0</v>
      </c>
      <c r="H40" s="382" t="b">
        <f>OR(COUNTIF(G40:G43,"TRUE")&gt;=3)</f>
        <v>0</v>
      </c>
    </row>
    <row r="41" spans="2:8" ht="15.6" customHeight="1" x14ac:dyDescent="0.2">
      <c r="B41" s="377"/>
      <c r="C41" s="386"/>
      <c r="D41" s="191" t="s">
        <v>580</v>
      </c>
      <c r="E41" s="187">
        <f>Check!K83</f>
        <v>0</v>
      </c>
      <c r="F41" s="187" t="str">
        <f>Check!I83</f>
        <v>F</v>
      </c>
      <c r="G41" s="267" t="b">
        <f>Check!H83</f>
        <v>0</v>
      </c>
      <c r="H41" s="383"/>
    </row>
    <row r="42" spans="2:8" ht="15.6" customHeight="1" x14ac:dyDescent="0.2">
      <c r="B42" s="377"/>
      <c r="C42" s="386"/>
      <c r="D42" s="191" t="s">
        <v>627</v>
      </c>
      <c r="E42" s="187">
        <f>Check!K85</f>
        <v>0</v>
      </c>
      <c r="F42" s="187" t="str">
        <f>Check!I85</f>
        <v>F</v>
      </c>
      <c r="G42" s="267" t="b">
        <f>Check!H85</f>
        <v>0</v>
      </c>
      <c r="H42" s="383"/>
    </row>
    <row r="43" spans="2:8" ht="15.6" customHeight="1" x14ac:dyDescent="0.2">
      <c r="B43" s="378"/>
      <c r="C43" s="387"/>
      <c r="D43" s="191" t="s">
        <v>628</v>
      </c>
      <c r="E43" s="187">
        <f>Check!K87</f>
        <v>0</v>
      </c>
      <c r="F43" s="187" t="str">
        <f>Check!I87</f>
        <v>F</v>
      </c>
      <c r="G43" s="267" t="b">
        <f>Check!H87</f>
        <v>0</v>
      </c>
      <c r="H43" s="384"/>
    </row>
    <row r="44" spans="2:8" ht="7.2" customHeight="1" x14ac:dyDescent="0.2">
      <c r="C44" s="171"/>
      <c r="D44" s="171"/>
      <c r="E44" s="171"/>
      <c r="F44" s="171"/>
      <c r="G44" s="189"/>
      <c r="H44" s="171"/>
    </row>
    <row r="45" spans="2:8" ht="90.6" customHeight="1" x14ac:dyDescent="0.2">
      <c r="B45" s="271" t="s">
        <v>742</v>
      </c>
      <c r="C45" s="388"/>
      <c r="D45" s="389"/>
      <c r="E45" s="389"/>
      <c r="F45" s="389"/>
      <c r="G45" s="389"/>
      <c r="H45" s="390"/>
    </row>
    <row r="46" spans="2:8" ht="6" customHeight="1" x14ac:dyDescent="0.2"/>
    <row r="47" spans="2:8" ht="34.200000000000003" customHeight="1" x14ac:dyDescent="0.2">
      <c r="B47" s="271" t="s">
        <v>603</v>
      </c>
      <c r="C47" s="391"/>
      <c r="D47" s="392"/>
      <c r="E47" s="194" t="s">
        <v>499</v>
      </c>
      <c r="F47" s="198">
        <f>SUM(E6:E43)</f>
        <v>1</v>
      </c>
      <c r="G47" s="284" t="s">
        <v>743</v>
      </c>
      <c r="H47" s="305">
        <f>COUNTIF(G6:G43,"TRUE")</f>
        <v>0</v>
      </c>
    </row>
    <row r="48" spans="2:8" x14ac:dyDescent="0.2">
      <c r="B48"/>
      <c r="G48"/>
    </row>
    <row r="49" spans="2:7" x14ac:dyDescent="0.2">
      <c r="B49"/>
      <c r="G49"/>
    </row>
    <row r="50" spans="2:7" x14ac:dyDescent="0.2">
      <c r="B50"/>
      <c r="G50"/>
    </row>
    <row r="51" spans="2:7" x14ac:dyDescent="0.2">
      <c r="B51"/>
      <c r="G51"/>
    </row>
  </sheetData>
  <sheetProtection sheet="1" objects="1" scenarios="1" selectLockedCells="1"/>
  <protectedRanges>
    <protectedRange sqref="C45" name="範囲2"/>
  </protectedRanges>
  <mergeCells count="24">
    <mergeCell ref="G2:H2"/>
    <mergeCell ref="B6:B11"/>
    <mergeCell ref="C6:C9"/>
    <mergeCell ref="H6:H9"/>
    <mergeCell ref="C10:C11"/>
    <mergeCell ref="H10:H11"/>
    <mergeCell ref="B26:B43"/>
    <mergeCell ref="C26:C30"/>
    <mergeCell ref="H26:H30"/>
    <mergeCell ref="C31:C33"/>
    <mergeCell ref="H31:H33"/>
    <mergeCell ref="B12:B25"/>
    <mergeCell ref="C12:C18"/>
    <mergeCell ref="H12:H18"/>
    <mergeCell ref="C19:C25"/>
    <mergeCell ref="H19:H25"/>
    <mergeCell ref="C45:H45"/>
    <mergeCell ref="C47:D47"/>
    <mergeCell ref="C34:C36"/>
    <mergeCell ref="H34:H36"/>
    <mergeCell ref="C37:C39"/>
    <mergeCell ref="H37:H39"/>
    <mergeCell ref="C40:C43"/>
    <mergeCell ref="H40:H43"/>
  </mergeCells>
  <phoneticPr fontId="3"/>
  <conditionalFormatting sqref="G6:G43">
    <cfRule type="containsText" dxfId="1" priority="2" operator="containsText" text="FALSE">
      <formula>NOT(ISERROR(SEARCH("FALSE",G6)))</formula>
    </cfRule>
  </conditionalFormatting>
  <conditionalFormatting sqref="H6:H43">
    <cfRule type="containsText" dxfId="0" priority="1" operator="containsText" text="FALSE">
      <formula>NOT(ISERROR(SEARCH("FALSE",H6)))</formula>
    </cfRule>
  </conditionalFormatting>
  <pageMargins left="0.7" right="0.7" top="0.75" bottom="0.75" header="0.3" footer="0.3"/>
  <pageSetup paperSize="9" scale="94" fitToWidth="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ID</vt:lpstr>
      <vt:lpstr>IN1</vt:lpstr>
      <vt:lpstr>IN2</vt:lpstr>
      <vt:lpstr>Check</vt:lpstr>
      <vt:lpstr>提出票</vt:lpstr>
      <vt:lpstr>学習教育目標</vt:lpstr>
      <vt:lpstr>最終提出票</vt:lpstr>
      <vt:lpstr>Check!Print_Area</vt:lpstr>
      <vt:lpstr>ID!Print_Area</vt:lpstr>
      <vt:lpstr>'IN1'!Print_Area</vt:lpstr>
      <vt:lpstr>'IN2'!Print_Area</vt:lpstr>
      <vt:lpstr>学習教育目標!Print_Area</vt:lpstr>
      <vt:lpstr>提出票!Print_Area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onakabep</dc:creator>
  <cp:lastModifiedBy>onakabep</cp:lastModifiedBy>
  <cp:lastPrinted>2016-03-22T03:54:57Z</cp:lastPrinted>
  <dcterms:created xsi:type="dcterms:W3CDTF">2015-09-23T08:10:39Z</dcterms:created>
  <dcterms:modified xsi:type="dcterms:W3CDTF">2019-02-04T10:21:51Z</dcterms:modified>
</cp:coreProperties>
</file>